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ofia.osorio\Desktop\COCODI\CRONOGRAMA DE ESTRATEGIA RF\"/>
    </mc:Choice>
  </mc:AlternateContent>
  <bookViews>
    <workbookView xWindow="0" yWindow="0" windowWidth="28800" windowHeight="11700"/>
  </bookViews>
  <sheets>
    <sheet name="BITACORA COMPROBACION (2)" sheetId="2" r:id="rId1"/>
    <sheet name="Hoja1" sheetId="1" r:id="rId2"/>
  </sheets>
  <definedNames>
    <definedName name="_xlnm._FilterDatabase" localSheetId="0" hidden="1">'BITACORA COMPROBACION (2)'!$B$7:$AC$67</definedName>
    <definedName name="_xlnm.Print_Titles" localSheetId="0">'BITACORA COMPROBACION (2)'!$1:$7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8" i="2" l="1"/>
  <c r="N54" i="2" l="1"/>
  <c r="U12" i="2"/>
  <c r="U14" i="2"/>
  <c r="U26" i="2"/>
  <c r="U38" i="2"/>
  <c r="U44" i="2"/>
  <c r="U60" i="2"/>
  <c r="U64" i="2"/>
  <c r="U66" i="2"/>
  <c r="T58" i="2"/>
  <c r="S58" i="2"/>
  <c r="S56" i="2"/>
  <c r="U56" i="2" s="1"/>
  <c r="S54" i="2"/>
  <c r="T52" i="2"/>
  <c r="S52" i="2"/>
  <c r="R52" i="2"/>
  <c r="T50" i="2"/>
  <c r="S50" i="2"/>
  <c r="T40" i="2"/>
  <c r="S40" i="2"/>
  <c r="T36" i="2"/>
  <c r="T32" i="2"/>
  <c r="S32" i="2"/>
  <c r="T30" i="2"/>
  <c r="U30" i="2" s="1"/>
  <c r="T28" i="2"/>
  <c r="U28" i="2" s="1"/>
  <c r="R20" i="2"/>
  <c r="U20" i="2" s="1"/>
  <c r="T16" i="2"/>
  <c r="S16" i="2"/>
  <c r="S10" i="2"/>
  <c r="R10" i="2"/>
  <c r="S8" i="2"/>
  <c r="U32" i="2" l="1"/>
  <c r="U58" i="2"/>
  <c r="U40" i="2"/>
  <c r="U10" i="2"/>
  <c r="U16" i="2"/>
  <c r="U52" i="2"/>
  <c r="D72" i="2"/>
  <c r="AC69" i="2"/>
  <c r="Z67" i="2"/>
  <c r="Z66" i="2"/>
  <c r="E66" i="2"/>
  <c r="Z65" i="2"/>
  <c r="Z64" i="2"/>
  <c r="Z63" i="2"/>
  <c r="Z62" i="2"/>
  <c r="S62" i="2"/>
  <c r="R62" i="2"/>
  <c r="N62" i="2"/>
  <c r="H62" i="2"/>
  <c r="Z61" i="2"/>
  <c r="Z60" i="2"/>
  <c r="Z59" i="2"/>
  <c r="Z58" i="2"/>
  <c r="Z57" i="2"/>
  <c r="Z56" i="2"/>
  <c r="Z55" i="2"/>
  <c r="Z54" i="2"/>
  <c r="T54" i="2"/>
  <c r="U54" i="2" s="1"/>
  <c r="G54" i="2"/>
  <c r="Z53" i="2"/>
  <c r="Z52" i="2"/>
  <c r="P52" i="2"/>
  <c r="N52" i="2"/>
  <c r="L52" i="2"/>
  <c r="G52" i="2"/>
  <c r="H52" i="2" s="1"/>
  <c r="Z51" i="2"/>
  <c r="Z50" i="2"/>
  <c r="R50" i="2"/>
  <c r="U50" i="2" s="1"/>
  <c r="N50" i="2"/>
  <c r="Z49" i="2"/>
  <c r="Z48" i="2"/>
  <c r="T48" i="2"/>
  <c r="U48" i="2" s="1"/>
  <c r="Z47" i="2"/>
  <c r="Z46" i="2"/>
  <c r="T46" i="2"/>
  <c r="U46" i="2" s="1"/>
  <c r="P46" i="2"/>
  <c r="E46" i="2"/>
  <c r="G46" i="2" s="1"/>
  <c r="H46" i="2" s="1"/>
  <c r="Z45" i="2"/>
  <c r="Z44" i="2"/>
  <c r="E44" i="2"/>
  <c r="Z43" i="2"/>
  <c r="Z42" i="2"/>
  <c r="T42" i="2"/>
  <c r="U42" i="2" s="1"/>
  <c r="Z41" i="2"/>
  <c r="Z40" i="2"/>
  <c r="Z39" i="2"/>
  <c r="Z38" i="2"/>
  <c r="Z37" i="2"/>
  <c r="Z36" i="2"/>
  <c r="S36" i="2"/>
  <c r="U36" i="2" s="1"/>
  <c r="P36" i="2"/>
  <c r="Z35" i="2"/>
  <c r="Z34" i="2"/>
  <c r="T34" i="2"/>
  <c r="S34" i="2"/>
  <c r="Z33" i="2"/>
  <c r="Z32" i="2"/>
  <c r="P32" i="2"/>
  <c r="O32" i="2"/>
  <c r="G32" i="2"/>
  <c r="H32" i="2" s="1"/>
  <c r="Z31" i="2"/>
  <c r="Z30" i="2"/>
  <c r="Z29" i="2"/>
  <c r="Z28" i="2"/>
  <c r="F28" i="2"/>
  <c r="Z27" i="2"/>
  <c r="Z25" i="2"/>
  <c r="Z24" i="2"/>
  <c r="S24" i="2"/>
  <c r="R24" i="2"/>
  <c r="P24" i="2"/>
  <c r="Z23" i="2"/>
  <c r="Z22" i="2"/>
  <c r="S22" i="2"/>
  <c r="R22" i="2"/>
  <c r="N22" i="2"/>
  <c r="Z21" i="2"/>
  <c r="Z20" i="2"/>
  <c r="Z19" i="2"/>
  <c r="Z18" i="2"/>
  <c r="T18" i="2"/>
  <c r="U18" i="2" s="1"/>
  <c r="Z17" i="2"/>
  <c r="Z16" i="2"/>
  <c r="N16" i="2"/>
  <c r="G16" i="2"/>
  <c r="F16" i="2"/>
  <c r="Z15" i="2"/>
  <c r="Z14" i="2"/>
  <c r="Z13" i="2"/>
  <c r="Z12" i="2"/>
  <c r="Z11" i="2"/>
  <c r="Z10" i="2"/>
  <c r="L10" i="2"/>
  <c r="Z9" i="2"/>
  <c r="Z8" i="2"/>
  <c r="P8" i="2"/>
  <c r="G8" i="2"/>
  <c r="F8" i="2"/>
  <c r="U34" i="2" l="1"/>
  <c r="AA34" i="2" s="1"/>
  <c r="AB34" i="2" s="1"/>
  <c r="T8" i="2"/>
  <c r="N10" i="2"/>
  <c r="U22" i="2"/>
  <c r="AA22" i="2" s="1"/>
  <c r="AB22" i="2" s="1"/>
  <c r="U62" i="2"/>
  <c r="AA62" i="2" s="1"/>
  <c r="AB62" i="2" s="1"/>
  <c r="AA20" i="2"/>
  <c r="AB20" i="2" s="1"/>
  <c r="AA66" i="2"/>
  <c r="AB66" i="2" s="1"/>
  <c r="AA42" i="2"/>
  <c r="AB42" i="2" s="1"/>
  <c r="AA30" i="2"/>
  <c r="AB30" i="2" s="1"/>
  <c r="AA38" i="2"/>
  <c r="AB38" i="2" s="1"/>
  <c r="AA56" i="2"/>
  <c r="AB56" i="2" s="1"/>
  <c r="AA14" i="2"/>
  <c r="AB14" i="2" s="1"/>
  <c r="T24" i="2"/>
  <c r="U24" i="2" s="1"/>
  <c r="AA64" i="2"/>
  <c r="AB64" i="2" s="1"/>
  <c r="AA50" i="2"/>
  <c r="AB50" i="2" s="1"/>
  <c r="AA28" i="2"/>
  <c r="AB28" i="2" s="1"/>
  <c r="AA40" i="2"/>
  <c r="AB40" i="2" s="1"/>
  <c r="AA18" i="2"/>
  <c r="AB18" i="2" s="1"/>
  <c r="AA58" i="2"/>
  <c r="AB58" i="2" s="1"/>
  <c r="P62" i="2"/>
  <c r="AA12" i="2"/>
  <c r="AB12" i="2" s="1"/>
  <c r="AA48" i="2"/>
  <c r="AB48" i="2" s="1"/>
  <c r="AA16" i="2"/>
  <c r="AB16" i="2" s="1"/>
  <c r="AA44" i="2"/>
  <c r="AB44" i="2" s="1"/>
  <c r="AA46" i="2"/>
  <c r="AB46" i="2" s="1"/>
  <c r="AA10" i="2"/>
  <c r="AB10" i="2" s="1"/>
  <c r="H28" i="2"/>
  <c r="AA32" i="2"/>
  <c r="AB32" i="2" s="1"/>
  <c r="AA36" i="2"/>
  <c r="AB36" i="2" s="1"/>
  <c r="AA60" i="2"/>
  <c r="AB60" i="2" s="1"/>
  <c r="AA52" i="2" l="1"/>
  <c r="AB52" i="2" s="1"/>
  <c r="AA24" i="2"/>
  <c r="AB24" i="2" s="1"/>
  <c r="AA54" i="2"/>
  <c r="AB54" i="2" s="1"/>
  <c r="AA8" i="2"/>
  <c r="AB8" i="2" l="1"/>
</calcChain>
</file>

<file path=xl/comments1.xml><?xml version="1.0" encoding="utf-8"?>
<comments xmlns="http://schemas.openxmlformats.org/spreadsheetml/2006/main">
  <authors>
    <author>Sofia Osorio Marin</author>
    <author>123</author>
  </authors>
  <commentList>
    <comment ref="N8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En espera del cambio de los reportes trimestrales 170,985.40, 2,314,283.28 y CG, COMPROBACIÓN ENVIO POR CORREO
</t>
        </r>
      </text>
    </comment>
    <comment ref="X8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Solicito via correo electronico el 04 de enero 2022 linea de captura por $87,380.32</t>
        </r>
      </text>
    </comment>
    <comment ref="N10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CAMBIARAN LOS TRIMESTRALES PQ LOS ACUMULAN
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AUN NO ENVIAN EL CERTIFICADO DEL GASTO
</t>
        </r>
      </text>
    </comment>
    <comment ref="S10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AUN NO ENVIA CERTIFICADO DE GTO
</t>
        </r>
      </text>
    </comment>
    <comment ref="L12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OK MODIFICACION FALTA CER GTO Y TRIMESTRALES COMPLETOS
</t>
        </r>
      </text>
    </comment>
    <comment ref="N16" authorId="0" shapeId="0">
      <text>
        <r>
          <rPr>
            <b/>
            <sz val="9"/>
            <color indexed="81"/>
            <rFont val="Tahoma"/>
            <family val="2"/>
          </rPr>
          <t xml:space="preserve">Sofia Osorio Marin: 
Solo envio trimestrales y comprobación 
</t>
        </r>
      </text>
    </comment>
    <comment ref="R20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SOLO ENVIARON COMPROBACION POR 12,579.54 FALTA CER DE GTO.</t>
        </r>
      </text>
    </comment>
    <comment ref="T30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FALTA CG Y CUARTO REPORTE TRIMESTRAL  LA COMPROBACIÓN FUE ENVIADA VIA CORREO ELECTRONICO
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ESTA CANTIDAD ES LO ACUMULADO 1,286,089.86 LO REAL EJERCIDO ES 1,188,493.94
</t>
        </r>
      </text>
    </comment>
    <comment ref="P32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ESTA CANTIDAD ES LO EJERCIDO 1,188,493.94,  ACUMULADO 1,286,089.86 ES LO QUE ENVIAN EN EL REPORTE TRIMESTRAL
</t>
        </r>
      </text>
    </comment>
    <comment ref="S34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tiene una diferencia entre trimetral y cg por .24
</t>
        </r>
      </text>
    </comment>
    <comment ref="T36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envio comprobación falta trimestal y certificado de gasto
</t>
        </r>
      </text>
    </comment>
    <comment ref="S38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 ENVIO  VIA CORREO LA COMPROBACION FALTAN TRIMESTRALES Y CG
ENVIO COMPROBACION POR 5,015855.64 DE LOS CUALES AUN FALTA EVIDENCIA 
DE 3,164,306.61
</t>
        </r>
      </text>
    </comment>
    <comment ref="T40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EN ESPERA DE REPORTE TRIMESTRAL Y CG POR  283,660 Y 75,000 Y EL CAMBIO DE UN CG DE LA PARTIDA 51101</t>
        </r>
      </text>
    </comment>
    <comment ref="T42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ENVIO VIA CORREO ELECTRONICO COMPROGACION POR 5,414,370.26
FALTAN TRES CG 284,368.08
</t>
        </r>
      </text>
    </comment>
    <comment ref="S44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ENVIO POR CORREO CMPROBACIÓN FALTA CSF Y VERIFICACIÓN SAT TRIMESTRALES Y CG </t>
        </r>
      </text>
    </comment>
    <comment ref="T44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ENVIO POR CORREO CMPROBACIÓN FALTA CSF Y VERIFICACIÓN SAT TRIMESTRALES Y CG </t>
        </r>
      </text>
    </comment>
    <comment ref="F46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NO ESTA EN LA CARPETA
</t>
        </r>
      </text>
    </comment>
    <comment ref="T46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cambiaran un certificado y enviaran comprobacion de auto y subsidios.
CANCELARAN CERTIFICADO DE GASTO DE AUTO Y SOLICITARAN UN LINEA DE CAPTURA YA  QUE LO REGRESARON POR MAL ESTADO POR: $533,800.00</t>
        </r>
      </text>
    </comment>
    <comment ref="X48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Solicito via correo electronico el día 31 de dic 2021 linea de captura por $225,668.65</t>
        </r>
      </text>
    </comment>
    <comment ref="AB48" authorId="1" shapeId="0">
      <text>
        <r>
          <rPr>
            <b/>
            <sz val="9"/>
            <color indexed="81"/>
            <rFont val="Tahoma"/>
            <family val="2"/>
          </rPr>
          <t xml:space="preserve">123:
ESTA CANTIDAD ES POR LA DEDUCTIVA A UN PROVEEDOR, SOLICITO LINEA DE CAPTURA EL DIA 02/03/02022
</t>
        </r>
      </text>
    </comment>
    <comment ref="T54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ENVIO COMPROBACIÓN, FALTA TRIMESTRAL Y CG
</t>
        </r>
      </text>
    </comment>
    <comment ref="L58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AUN NO LO ENVIAN
</t>
        </r>
      </text>
    </comment>
    <comment ref="N58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AUN NO LO ENVIAN
</t>
        </r>
      </text>
    </comment>
    <comment ref="P58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aun no llega
</t>
        </r>
      </text>
    </comment>
    <comment ref="T58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FALTA TRIMESTRAL, CG  ESTO REPORTA EN SU COMPROBACIÓN Y AL PARECER CINCO FACTURAS MAS
</t>
        </r>
      </text>
    </comment>
    <comment ref="N60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FALTA CERTIFICADO DE GASTO Y COMPROBACION
</t>
        </r>
      </text>
    </comment>
    <comment ref="K63" authorId="0" shapeId="0">
      <text>
        <r>
          <rPr>
            <b/>
            <sz val="9"/>
            <color indexed="81"/>
            <rFont val="Tahoma"/>
            <family val="2"/>
          </rPr>
          <t>Sofia Osorio Marin:</t>
        </r>
        <r>
          <rPr>
            <sz val="9"/>
            <color indexed="81"/>
            <rFont val="Tahoma"/>
            <family val="2"/>
          </rPr>
          <t xml:space="preserve">
aun no envia comprobacion
y certificado de gasto
</t>
        </r>
      </text>
    </comment>
    <comment ref="S64" authorId="1" shapeId="0">
      <text>
        <r>
          <rPr>
            <b/>
            <sz val="9"/>
            <color indexed="81"/>
            <rFont val="Tahoma"/>
            <family val="2"/>
          </rPr>
          <t>123:</t>
        </r>
        <r>
          <rPr>
            <sz val="9"/>
            <color indexed="81"/>
            <rFont val="Tahoma"/>
            <family val="2"/>
          </rPr>
          <t xml:space="preserve">
ENVIO POR CORREO COMPROBACIÓN, FALTA TRIMESTRAL Y CG</t>
        </r>
      </text>
    </comment>
  </commentList>
</comments>
</file>

<file path=xl/sharedStrings.xml><?xml version="1.0" encoding="utf-8"?>
<sst xmlns="http://schemas.openxmlformats.org/spreadsheetml/2006/main" count="298" uniqueCount="144">
  <si>
    <t>COMISIÓN NACIONAL CONTRA LAS ADICCIONES</t>
  </si>
  <si>
    <t>PROGRAMA E025 "PREVENCCIÓN Y ATENCIÓN CONTRA LAS ADICCIONES"</t>
  </si>
  <si>
    <t>BITÁCORA DE COMPROBACIÓN 2021</t>
  </si>
  <si>
    <t>No.</t>
  </si>
  <si>
    <t>ESTADO</t>
  </si>
  <si>
    <t>MONTO  TOTAL 
ASIGNADO 
EN 
CONVENIO</t>
  </si>
  <si>
    <t>INFORME TRIMESTRAL  
CLAUSURA SEGUNDA 
Anexo 5</t>
  </si>
  <si>
    <t>INFORME TRIMESTARL  
CLAUSURA TERCERA FRACCIÓN III
Anexo 5</t>
  </si>
  <si>
    <t xml:space="preserve">CERTIFICACIÓN DEL GASTO 
CLAUSURA TERCERA FRACCIÓN III
Anexo 6
</t>
  </si>
  <si>
    <t>MONTO EJERCIDO</t>
  </si>
  <si>
    <t>CERTIFICADO DE REINTEGROS 
CLAUSURA TERCERA FRACCIÓN III
Anexo 7</t>
  </si>
  <si>
    <t xml:space="preserve">
LINEA  DE CAPTURA
</t>
  </si>
  <si>
    <t>MONTO COMPROBADO</t>
  </si>
  <si>
    <t>MONTO PENDIENTE POR COMPROBAR</t>
  </si>
  <si>
    <t>OBSERVACIONES</t>
  </si>
  <si>
    <t>1ER TRIMESTRE
RF
ENE-FEB-MAR
ABRIL</t>
  </si>
  <si>
    <t>2DO TRIMESTRE
RF
ABRIL-MAY-JUN
JULIO</t>
  </si>
  <si>
    <t>3ER TRIMESTRE
RF
JUL-AGS-SEP
OCTUBRE</t>
  </si>
  <si>
    <t>4TO TRIMESTRE
RF
OCT-NOV-DIC
ENERO</t>
  </si>
  <si>
    <t>1ER TRIMESTRE
ENE-FEB-MAR
ABRIL</t>
  </si>
  <si>
    <t>2DO TRIMESTRE
ABRIL-MAYO-JUNIO
JULIO</t>
  </si>
  <si>
    <t>3ER TRIMESTRE
JULIO-AGOSTO-SEPTIEMBRE
OCTUBRE</t>
  </si>
  <si>
    <t>4TO TRIMESTRE
OCTUBRE-NOVIEMBRE-DICIEMBRE
ENERO</t>
  </si>
  <si>
    <t>2DO TRIMESTRE
ABRIL-MAY-JUN
JULIO</t>
  </si>
  <si>
    <t>3ER TRIMESTRE
JUL-AGS-SEP
OCTUBRE</t>
  </si>
  <si>
    <t>4TO TRIMESTRE
OCT-NOV-DIC
ENERO</t>
  </si>
  <si>
    <t>SUMA  REINTEGRO</t>
  </si>
  <si>
    <t>MONTO COMPROMETIDO</t>
  </si>
  <si>
    <t>Aguascalientes</t>
  </si>
  <si>
    <t>OK</t>
  </si>
  <si>
    <t>5000/006946</t>
  </si>
  <si>
    <t>5000/010170</t>
  </si>
  <si>
    <t>5000/1824</t>
  </si>
  <si>
    <t xml:space="preserve">5000/006946 </t>
  </si>
  <si>
    <t xml:space="preserve">Baja California Sur </t>
  </si>
  <si>
    <t>OFI S/N 15/10/2021</t>
  </si>
  <si>
    <t>OF S/N 16/11/2021</t>
  </si>
  <si>
    <t>Campeche</t>
  </si>
  <si>
    <t>CECA/ST/0432/2021</t>
  </si>
  <si>
    <t>Chiapas</t>
  </si>
  <si>
    <t>IS/DAF/SRF/DC/5003/12491/2021</t>
  </si>
  <si>
    <t>Chihuahua</t>
  </si>
  <si>
    <t>CAAD761/2021</t>
  </si>
  <si>
    <t>CORREO</t>
  </si>
  <si>
    <t>Ciudad de México</t>
  </si>
  <si>
    <t>DAF/4118/2021</t>
  </si>
  <si>
    <t>DAF/5866/2021</t>
  </si>
  <si>
    <t>DAF/0277/2022</t>
  </si>
  <si>
    <t>DAF/0698/2022</t>
  </si>
  <si>
    <t>Coahuila</t>
  </si>
  <si>
    <t>ADIC/202/2021</t>
  </si>
  <si>
    <t>ADT/008/2022</t>
  </si>
  <si>
    <t>Colima</t>
  </si>
  <si>
    <t>CESMAC/689/2021</t>
  </si>
  <si>
    <t>CESMAC/042/2022</t>
  </si>
  <si>
    <t xml:space="preserve">Durango </t>
  </si>
  <si>
    <t xml:space="preserve">CORREO </t>
  </si>
  <si>
    <t>CORRE</t>
  </si>
  <si>
    <t>Estado de México</t>
  </si>
  <si>
    <t>6’439,405.00</t>
  </si>
  <si>
    <t>208C0101310000L/1209/2021</t>
  </si>
  <si>
    <t>Guanajuato</t>
  </si>
  <si>
    <t>CGAyF/DGA/DCySA/CASPSS-00248/2021</t>
  </si>
  <si>
    <t>CGAyF/DGA/DCySA/CASPSS-00353/2021 y CGAyF/DGA/DCySA/CASPSS-00503/2021</t>
  </si>
  <si>
    <t>CGAyF/DGA/DCySA/CASPSS-692/2021</t>
  </si>
  <si>
    <t>CGAyF/DGA/DPyRF/CCF-00230/2020-2021</t>
  </si>
  <si>
    <t>CGAyF/DGA/DCySA/CASPSS-00503/2021</t>
  </si>
  <si>
    <t>CGAyF/DGA/DCySA/CASPSS-00046/2022</t>
  </si>
  <si>
    <t>Guerrero</t>
  </si>
  <si>
    <t>IT-RF-CONADIC-GRO2021-01</t>
  </si>
  <si>
    <t>IT-RF-CONADIC-GRO2021-02</t>
  </si>
  <si>
    <t>IT-RF-CONADIC-GRO2021-03</t>
  </si>
  <si>
    <t>IT-RF-CONADIC-GRO2021-04/CORREO</t>
  </si>
  <si>
    <t xml:space="preserve"> SAF-SRF-DIP-10-2022</t>
  </si>
  <si>
    <t>Hidalgo</t>
  </si>
  <si>
    <t>005215</t>
  </si>
  <si>
    <t>008440</t>
  </si>
  <si>
    <t>008110</t>
  </si>
  <si>
    <t>000282</t>
  </si>
  <si>
    <t>Jalisco</t>
  </si>
  <si>
    <t>CECAJ/637/2021</t>
  </si>
  <si>
    <t>CECAJ/1135/2021</t>
  </si>
  <si>
    <t>CECAJ/34/2022</t>
  </si>
  <si>
    <t>CECAJ/158/2022</t>
  </si>
  <si>
    <t xml:space="preserve">Michoacán </t>
  </si>
  <si>
    <t>SSA/2021/5009/38329</t>
  </si>
  <si>
    <t>SSA/2021/5009/58555</t>
  </si>
  <si>
    <t>Morelos</t>
  </si>
  <si>
    <t>SSM/DG/DA/SRF/DT/0887/2021</t>
  </si>
  <si>
    <t>Nayarit</t>
  </si>
  <si>
    <t>SSN/DA/SRFMSG/DREC/0590/2021</t>
  </si>
  <si>
    <t>SSN/DA/DREC-704-2021</t>
  </si>
  <si>
    <t>SSN-DA-SRFMSG/DREC/071/2022</t>
  </si>
  <si>
    <t xml:space="preserve">SSN/DA/SRFMSG/DREC/626/2021, SSN/DA/SRFMSG/DREC/0736/2021 </t>
  </si>
  <si>
    <t>SSN/DA/DREC/663/2021, SSN/DA/DREC/801/2021 Y SSN/DA/DREC/872/2021, SSN/DA/DREC/050/2021, SSN/DA/DREC/043/2021,</t>
  </si>
  <si>
    <t xml:space="preserve">Nuevo León </t>
  </si>
  <si>
    <t>CORREO SE SOLICITO OFICIO</t>
  </si>
  <si>
    <t>Oaxaca</t>
  </si>
  <si>
    <t>11C/11C.2.2/189/2021</t>
  </si>
  <si>
    <t>Puebla</t>
  </si>
  <si>
    <t>SCGF/0116/2021</t>
  </si>
  <si>
    <t>SCGF/0296/2021</t>
  </si>
  <si>
    <t>SCGF/0506/2021</t>
  </si>
  <si>
    <t>SCGF/055/2022</t>
  </si>
  <si>
    <t>SCGF/0055/2022</t>
  </si>
  <si>
    <t>Querétaro</t>
  </si>
  <si>
    <t>5014/DF/RFPE/269/2021</t>
  </si>
  <si>
    <t>5014/DF/RFPE/373/2021</t>
  </si>
  <si>
    <t>5014/DF/RFPE/035/2022</t>
  </si>
  <si>
    <t>5014/DF/RFPE/374/2021</t>
  </si>
  <si>
    <t>5014/DF/DF/RFPE/084/2022</t>
  </si>
  <si>
    <t>Quintana Roo</t>
  </si>
  <si>
    <t>DA/SRF/1386/VII/2021</t>
  </si>
  <si>
    <t>DA/SRF/1942/XI/2021 Y 2330</t>
  </si>
  <si>
    <t>DA/SRF/0167/I/2022</t>
  </si>
  <si>
    <t xml:space="preserve">DA/SRF/2330/XI/2021 </t>
  </si>
  <si>
    <t xml:space="preserve">San Luis Potosí </t>
  </si>
  <si>
    <t>10117</t>
  </si>
  <si>
    <t>16838/15JUL221</t>
  </si>
  <si>
    <t>27963</t>
  </si>
  <si>
    <t>DG/DPEYPE/SPYS/PE/2435/2022</t>
  </si>
  <si>
    <t>23098 Y 27963</t>
  </si>
  <si>
    <t xml:space="preserve">Sinaloa </t>
  </si>
  <si>
    <t>SSS/CEPTCA/0908/2021</t>
  </si>
  <si>
    <t>Sonora</t>
  </si>
  <si>
    <t>SSS-CGAF-2021-2-0223</t>
  </si>
  <si>
    <t>Tabasco</t>
  </si>
  <si>
    <t>CORREO 13/12/2021</t>
  </si>
  <si>
    <t>SS/UAF/DF/AC/10879/11/2021</t>
  </si>
  <si>
    <t>SS/UAF/DF/AC/1218/02/2022</t>
  </si>
  <si>
    <t>Tamaulipas</t>
  </si>
  <si>
    <t>SS/SAF/1110/2021</t>
  </si>
  <si>
    <t>Tlaxcala</t>
  </si>
  <si>
    <t>5018/COESAMA/208/2021</t>
  </si>
  <si>
    <t>5018/COESAMA/277/2021</t>
  </si>
  <si>
    <t>5018/COESAME/029/2022</t>
  </si>
  <si>
    <t xml:space="preserve">5018/COESAMA/208/2021 </t>
  </si>
  <si>
    <t>5018/COESAME/241/2021</t>
  </si>
  <si>
    <t>5018/COESAME/030/2022</t>
  </si>
  <si>
    <t>Yucatán</t>
  </si>
  <si>
    <t>Zacatecas</t>
  </si>
  <si>
    <t>SSZ/SRF/0329/2021</t>
  </si>
  <si>
    <t>TOTAL DE ESTADOS CON INFORMACIÓN RECIBIDA EN CRESCA</t>
  </si>
  <si>
    <t>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</si>
</sst>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Montserrat"/>
    </font>
    <font>
      <b/>
      <sz val="11"/>
      <color theme="1"/>
      <name val="Montserrat"/>
    </font>
    <font>
      <sz val="8"/>
      <color theme="1"/>
      <name val="Montserrat Regular"/>
    </font>
    <font>
      <sz val="11"/>
      <color theme="1"/>
      <name val="Montserrat ExtraBold"/>
    </font>
    <font>
      <b/>
      <sz val="8"/>
      <color theme="0"/>
      <name val="Montserrat"/>
    </font>
    <font>
      <sz val="9"/>
      <color theme="1"/>
      <name val="Montserrat"/>
    </font>
    <font>
      <sz val="6"/>
      <color theme="1"/>
      <name val="Montserrat"/>
    </font>
    <font>
      <sz val="10"/>
      <color theme="1"/>
      <name val="Montserrat"/>
    </font>
    <font>
      <sz val="10"/>
      <name val="Montserrat"/>
    </font>
    <font>
      <b/>
      <sz val="8"/>
      <name val="Montserrat"/>
    </font>
    <font>
      <sz val="8"/>
      <name val="Montserrat"/>
    </font>
    <font>
      <sz val="8"/>
      <color theme="1"/>
      <name val="Montserrat"/>
    </font>
    <font>
      <b/>
      <sz val="14"/>
      <color theme="1"/>
      <name val="Montserrat"/>
    </font>
    <font>
      <sz val="10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Montserrat"/>
    </font>
    <font>
      <sz val="12"/>
      <name val="Montserrat"/>
    </font>
    <font>
      <b/>
      <sz val="12"/>
      <color theme="1"/>
      <name val="Montserrat"/>
    </font>
    <font>
      <sz val="12"/>
      <color theme="1"/>
      <name val="Montserrat"/>
    </font>
    <font>
      <b/>
      <sz val="8"/>
      <color theme="1"/>
      <name val="Montserrat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4C19C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theme="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161">
    <xf numFmtId="0" fontId="0" fillId="0" borderId="0" xfId="0"/>
    <xf numFmtId="43" fontId="0" fillId="0" borderId="0" xfId="1" applyFont="1" applyBorder="1" applyAlignment="1">
      <alignment horizontal="center" vertical="center"/>
    </xf>
    <xf numFmtId="0" fontId="0" fillId="0" borderId="0" xfId="0" applyAlignment="1" applyProtection="1">
      <protection locked="0"/>
    </xf>
    <xf numFmtId="0" fontId="3" fillId="2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43" fontId="3" fillId="0" borderId="0" xfId="1" applyFont="1" applyFill="1" applyBorder="1" applyAlignment="1">
      <alignment vertical="center"/>
    </xf>
    <xf numFmtId="0" fontId="3" fillId="0" borderId="0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3" fillId="2" borderId="0" xfId="3" applyFont="1" applyFill="1" applyBorder="1" applyAlignment="1">
      <alignment horizontal="center" vertical="center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protection locked="0"/>
    </xf>
    <xf numFmtId="0" fontId="8" fillId="2" borderId="0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center" vertical="center"/>
    </xf>
    <xf numFmtId="0" fontId="7" fillId="5" borderId="1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vertical="center"/>
    </xf>
    <xf numFmtId="0" fontId="12" fillId="0" borderId="5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 wrapText="1"/>
    </xf>
    <xf numFmtId="0" fontId="12" fillId="2" borderId="5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15" fontId="13" fillId="2" borderId="5" xfId="3" applyNumberFormat="1" applyFont="1" applyFill="1" applyBorder="1" applyAlignment="1">
      <alignment horizontal="center" vertical="center" wrapText="1"/>
    </xf>
    <xf numFmtId="43" fontId="3" fillId="0" borderId="0" xfId="3" applyNumberFormat="1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43" fontId="3" fillId="2" borderId="0" xfId="3" applyNumberFormat="1" applyFont="1" applyFill="1" applyBorder="1" applyAlignment="1">
      <alignment vertical="center"/>
    </xf>
    <xf numFmtId="43" fontId="4" fillId="0" borderId="0" xfId="3" applyNumberFormat="1" applyFont="1" applyFill="1" applyBorder="1" applyAlignment="1">
      <alignment vertical="center"/>
    </xf>
    <xf numFmtId="43" fontId="4" fillId="0" borderId="0" xfId="3" applyNumberFormat="1" applyFont="1" applyFill="1" applyBorder="1" applyAlignment="1">
      <alignment horizontal="center" vertical="center"/>
    </xf>
    <xf numFmtId="44" fontId="15" fillId="2" borderId="0" xfId="3" applyNumberFormat="1" applyFont="1" applyFill="1" applyBorder="1" applyAlignment="1">
      <alignment vertical="center"/>
    </xf>
    <xf numFmtId="0" fontId="16" fillId="0" borderId="0" xfId="3" applyFont="1" applyFill="1" applyBorder="1" applyAlignment="1">
      <alignment vertical="center"/>
    </xf>
    <xf numFmtId="44" fontId="4" fillId="0" borderId="0" xfId="2" applyFont="1" applyFill="1" applyBorder="1" applyAlignment="1">
      <alignment vertical="center"/>
    </xf>
    <xf numFmtId="43" fontId="13" fillId="0" borderId="5" xfId="1" applyFont="1" applyFill="1" applyBorder="1" applyAlignment="1">
      <alignment vertical="center" wrapText="1"/>
    </xf>
    <xf numFmtId="0" fontId="11" fillId="2" borderId="0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/>
    </xf>
    <xf numFmtId="15" fontId="20" fillId="6" borderId="6" xfId="3" applyNumberFormat="1" applyFont="1" applyFill="1" applyBorder="1" applyAlignment="1">
      <alignment vertical="center" wrapText="1"/>
    </xf>
    <xf numFmtId="43" fontId="20" fillId="6" borderId="6" xfId="1" applyFont="1" applyFill="1" applyBorder="1" applyAlignment="1">
      <alignment vertical="center" wrapText="1"/>
    </xf>
    <xf numFmtId="4" fontId="20" fillId="6" borderId="6" xfId="3" applyNumberFormat="1" applyFont="1" applyFill="1" applyBorder="1" applyAlignment="1">
      <alignment vertical="center" wrapText="1"/>
    </xf>
    <xf numFmtId="43" fontId="19" fillId="6" borderId="7" xfId="1" applyFont="1" applyFill="1" applyBorder="1" applyAlignment="1">
      <alignment wrapText="1"/>
    </xf>
    <xf numFmtId="0" fontId="19" fillId="6" borderId="5" xfId="0" applyNumberFormat="1" applyFont="1" applyFill="1" applyBorder="1" applyAlignment="1">
      <alignment horizontal="center" wrapText="1"/>
    </xf>
    <xf numFmtId="43" fontId="20" fillId="6" borderId="6" xfId="3" applyNumberFormat="1" applyFont="1" applyFill="1" applyBorder="1" applyAlignment="1">
      <alignment vertical="center" wrapText="1"/>
    </xf>
    <xf numFmtId="43" fontId="19" fillId="6" borderId="6" xfId="3" applyNumberFormat="1" applyFont="1" applyFill="1" applyBorder="1" applyAlignment="1">
      <alignment vertical="center" wrapText="1"/>
    </xf>
    <xf numFmtId="43" fontId="19" fillId="6" borderId="6" xfId="3" applyNumberFormat="1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vertical="center" wrapText="1"/>
    </xf>
    <xf numFmtId="15" fontId="20" fillId="0" borderId="5" xfId="3" applyNumberFormat="1" applyFont="1" applyFill="1" applyBorder="1" applyAlignment="1">
      <alignment vertical="center" wrapText="1"/>
    </xf>
    <xf numFmtId="15" fontId="20" fillId="0" borderId="5" xfId="3" applyNumberFormat="1" applyFont="1" applyFill="1" applyBorder="1" applyAlignment="1">
      <alignment horizontal="center" vertical="center" wrapText="1"/>
    </xf>
    <xf numFmtId="43" fontId="20" fillId="2" borderId="6" xfId="1" applyFont="1" applyFill="1" applyBorder="1" applyAlignment="1">
      <alignment vertical="center" wrapText="1"/>
    </xf>
    <xf numFmtId="0" fontId="20" fillId="0" borderId="5" xfId="3" applyFont="1" applyFill="1" applyBorder="1" applyAlignment="1">
      <alignment vertical="center" wrapText="1"/>
    </xf>
    <xf numFmtId="43" fontId="20" fillId="0" borderId="6" xfId="1" applyFont="1" applyFill="1" applyBorder="1" applyAlignment="1">
      <alignment vertical="center" wrapText="1"/>
    </xf>
    <xf numFmtId="43" fontId="19" fillId="0" borderId="6" xfId="3" applyNumberFormat="1" applyFont="1" applyFill="1" applyBorder="1" applyAlignment="1">
      <alignment horizontal="center" vertical="center" wrapText="1"/>
    </xf>
    <xf numFmtId="43" fontId="20" fillId="0" borderId="5" xfId="1" applyFont="1" applyFill="1" applyBorder="1" applyAlignment="1">
      <alignment vertical="center" wrapText="1"/>
    </xf>
    <xf numFmtId="4" fontId="20" fillId="0" borderId="5" xfId="3" applyNumberFormat="1" applyFont="1" applyFill="1" applyBorder="1" applyAlignment="1">
      <alignment vertical="center" wrapText="1"/>
    </xf>
    <xf numFmtId="43" fontId="21" fillId="0" borderId="5" xfId="1" applyFont="1" applyBorder="1" applyAlignment="1">
      <alignment horizontal="center" wrapText="1"/>
    </xf>
    <xf numFmtId="0" fontId="19" fillId="0" borderId="5" xfId="0" applyNumberFormat="1" applyFont="1" applyBorder="1" applyAlignment="1">
      <alignment horizontal="center" wrapText="1"/>
    </xf>
    <xf numFmtId="43" fontId="20" fillId="0" borderId="6" xfId="3" applyNumberFormat="1" applyFont="1" applyFill="1" applyBorder="1" applyAlignment="1">
      <alignment vertical="center" wrapText="1"/>
    </xf>
    <xf numFmtId="43" fontId="19" fillId="0" borderId="6" xfId="3" applyNumberFormat="1" applyFont="1" applyFill="1" applyBorder="1" applyAlignment="1">
      <alignment vertical="center" wrapText="1"/>
    </xf>
    <xf numFmtId="15" fontId="20" fillId="2" borderId="5" xfId="3" applyNumberFormat="1" applyFont="1" applyFill="1" applyBorder="1" applyAlignment="1">
      <alignment vertical="center" wrapText="1"/>
    </xf>
    <xf numFmtId="0" fontId="20" fillId="2" borderId="5" xfId="3" applyFont="1" applyFill="1" applyBorder="1" applyAlignment="1">
      <alignment vertical="center" wrapText="1"/>
    </xf>
    <xf numFmtId="43" fontId="20" fillId="2" borderId="5" xfId="1" applyFont="1" applyFill="1" applyBorder="1" applyAlignment="1">
      <alignment vertical="center" wrapText="1"/>
    </xf>
    <xf numFmtId="43" fontId="21" fillId="2" borderId="5" xfId="1" applyFont="1" applyFill="1" applyBorder="1" applyAlignment="1">
      <alignment horizontal="center" wrapText="1"/>
    </xf>
    <xf numFmtId="0" fontId="19" fillId="2" borderId="5" xfId="0" applyNumberFormat="1" applyFont="1" applyFill="1" applyBorder="1" applyAlignment="1">
      <alignment horizontal="center" wrapText="1"/>
    </xf>
    <xf numFmtId="43" fontId="20" fillId="2" borderId="6" xfId="3" applyNumberFormat="1" applyFont="1" applyFill="1" applyBorder="1" applyAlignment="1">
      <alignment vertical="center" wrapText="1"/>
    </xf>
    <xf numFmtId="43" fontId="19" fillId="2" borderId="6" xfId="3" applyNumberFormat="1" applyFont="1" applyFill="1" applyBorder="1" applyAlignment="1">
      <alignment vertical="center" wrapText="1"/>
    </xf>
    <xf numFmtId="43" fontId="19" fillId="2" borderId="6" xfId="3" applyNumberFormat="1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left" vertical="center" wrapText="1"/>
    </xf>
    <xf numFmtId="43" fontId="20" fillId="2" borderId="5" xfId="3" applyNumberFormat="1" applyFont="1" applyFill="1" applyBorder="1" applyAlignment="1">
      <alignment vertical="center" wrapText="1"/>
    </xf>
    <xf numFmtId="43" fontId="20" fillId="6" borderId="5" xfId="1" applyFont="1" applyFill="1" applyBorder="1" applyAlignment="1">
      <alignment vertical="center" wrapText="1"/>
    </xf>
    <xf numFmtId="15" fontId="20" fillId="6" borderId="5" xfId="3" applyNumberFormat="1" applyFont="1" applyFill="1" applyBorder="1" applyAlignment="1">
      <alignment vertical="center" wrapText="1"/>
    </xf>
    <xf numFmtId="43" fontId="21" fillId="6" borderId="5" xfId="1" applyFont="1" applyFill="1" applyBorder="1" applyAlignment="1">
      <alignment horizontal="center" wrapText="1"/>
    </xf>
    <xf numFmtId="4" fontId="20" fillId="6" borderId="5" xfId="3" applyNumberFormat="1" applyFont="1" applyFill="1" applyBorder="1" applyAlignment="1">
      <alignment vertical="center" wrapText="1"/>
    </xf>
    <xf numFmtId="43" fontId="20" fillId="6" borderId="5" xfId="3" applyNumberFormat="1" applyFont="1" applyFill="1" applyBorder="1" applyAlignment="1">
      <alignment vertical="center" wrapText="1"/>
    </xf>
    <xf numFmtId="43" fontId="22" fillId="2" borderId="5" xfId="1" applyFont="1" applyFill="1" applyBorder="1" applyAlignment="1">
      <alignment vertical="center" wrapText="1"/>
    </xf>
    <xf numFmtId="4" fontId="20" fillId="2" borderId="5" xfId="3" applyNumberFormat="1" applyFont="1" applyFill="1" applyBorder="1" applyAlignment="1">
      <alignment vertical="center" wrapText="1"/>
    </xf>
    <xf numFmtId="0" fontId="20" fillId="6" borderId="5" xfId="3" applyFont="1" applyFill="1" applyBorder="1" applyAlignment="1">
      <alignment vertical="center" wrapText="1"/>
    </xf>
    <xf numFmtId="0" fontId="19" fillId="2" borderId="5" xfId="3" applyFont="1" applyFill="1" applyBorder="1" applyAlignment="1">
      <alignment horizontal="left" vertical="center" wrapText="1"/>
    </xf>
    <xf numFmtId="43" fontId="19" fillId="6" borderId="5" xfId="1" applyFont="1" applyFill="1" applyBorder="1" applyAlignment="1">
      <alignment horizontal="right" wrapText="1"/>
    </xf>
    <xf numFmtId="43" fontId="20" fillId="6" borderId="5" xfId="4" applyFont="1" applyFill="1" applyBorder="1" applyAlignment="1">
      <alignment vertical="center" wrapText="1"/>
    </xf>
    <xf numFmtId="43" fontId="19" fillId="6" borderId="5" xfId="1" applyFont="1" applyFill="1" applyBorder="1" applyAlignment="1">
      <alignment vertical="center" wrapText="1"/>
    </xf>
    <xf numFmtId="43" fontId="20" fillId="2" borderId="5" xfId="4" applyFont="1" applyFill="1" applyBorder="1" applyAlignment="1">
      <alignment vertical="center" wrapText="1"/>
    </xf>
    <xf numFmtId="43" fontId="19" fillId="2" borderId="5" xfId="1" applyFont="1" applyFill="1" applyBorder="1" applyAlignment="1">
      <alignment vertical="center" wrapText="1"/>
    </xf>
    <xf numFmtId="43" fontId="22" fillId="6" borderId="0" xfId="3" applyNumberFormat="1" applyFont="1" applyFill="1" applyBorder="1" applyAlignment="1">
      <alignment vertical="center"/>
    </xf>
    <xf numFmtId="3" fontId="20" fillId="6" borderId="5" xfId="3" applyNumberFormat="1" applyFont="1" applyFill="1" applyBorder="1" applyAlignment="1">
      <alignment vertical="center" wrapText="1"/>
    </xf>
    <xf numFmtId="43" fontId="19" fillId="6" borderId="6" xfId="1" applyFont="1" applyFill="1" applyBorder="1" applyAlignment="1">
      <alignment vertical="center" wrapText="1"/>
    </xf>
    <xf numFmtId="43" fontId="22" fillId="6" borderId="5" xfId="1" applyFont="1" applyFill="1" applyBorder="1" applyAlignment="1">
      <alignment vertical="center"/>
    </xf>
    <xf numFmtId="43" fontId="20" fillId="6" borderId="5" xfId="2" applyNumberFormat="1" applyFont="1" applyFill="1" applyBorder="1" applyAlignment="1">
      <alignment vertical="center" wrapText="1"/>
    </xf>
    <xf numFmtId="43" fontId="20" fillId="2" borderId="5" xfId="2" applyNumberFormat="1" applyFont="1" applyFill="1" applyBorder="1" applyAlignment="1">
      <alignment vertical="center" wrapText="1"/>
    </xf>
    <xf numFmtId="0" fontId="20" fillId="2" borderId="5" xfId="2" applyNumberFormat="1" applyFont="1" applyFill="1" applyBorder="1" applyAlignment="1">
      <alignment vertical="center" wrapText="1"/>
    </xf>
    <xf numFmtId="4" fontId="21" fillId="2" borderId="5" xfId="0" applyNumberFormat="1" applyFont="1" applyFill="1" applyBorder="1" applyAlignment="1">
      <alignment horizontal="right" wrapText="1"/>
    </xf>
    <xf numFmtId="0" fontId="21" fillId="0" borderId="0" xfId="3" applyFont="1" applyFill="1" applyBorder="1" applyAlignment="1">
      <alignment vertical="center"/>
    </xf>
    <xf numFmtId="0" fontId="22" fillId="0" borderId="0" xfId="3" applyFont="1" applyFill="1" applyBorder="1" applyAlignment="1">
      <alignment vertical="center"/>
    </xf>
    <xf numFmtId="43" fontId="22" fillId="0" borderId="0" xfId="1" applyFont="1" applyFill="1" applyBorder="1" applyAlignment="1">
      <alignment vertical="center"/>
    </xf>
    <xf numFmtId="0" fontId="22" fillId="2" borderId="0" xfId="3" applyFont="1" applyFill="1" applyBorder="1" applyAlignment="1">
      <alignment vertical="center"/>
    </xf>
    <xf numFmtId="0" fontId="21" fillId="0" borderId="0" xfId="3" applyFont="1" applyFill="1" applyBorder="1" applyAlignment="1">
      <alignment horizontal="center" vertical="center"/>
    </xf>
    <xf numFmtId="0" fontId="21" fillId="0" borderId="9" xfId="3" applyFont="1" applyFill="1" applyBorder="1" applyAlignment="1">
      <alignment horizontal="center" vertical="center"/>
    </xf>
    <xf numFmtId="0" fontId="12" fillId="0" borderId="5" xfId="3" applyFont="1" applyFill="1" applyBorder="1" applyAlignment="1">
      <alignment vertical="center" wrapText="1"/>
    </xf>
    <xf numFmtId="15" fontId="13" fillId="0" borderId="5" xfId="3" applyNumberFormat="1" applyFont="1" applyFill="1" applyBorder="1" applyAlignment="1">
      <alignment vertical="center" wrapText="1"/>
    </xf>
    <xf numFmtId="0" fontId="13" fillId="0" borderId="5" xfId="3" applyFont="1" applyFill="1" applyBorder="1" applyAlignment="1">
      <alignment horizontal="center" vertical="center" wrapText="1"/>
    </xf>
    <xf numFmtId="15" fontId="13" fillId="0" borderId="5" xfId="3" applyNumberFormat="1" applyFont="1" applyFill="1" applyBorder="1" applyAlignment="1">
      <alignment horizontal="center" vertical="center" wrapText="1"/>
    </xf>
    <xf numFmtId="43" fontId="13" fillId="2" borderId="6" xfId="1" applyFont="1" applyFill="1" applyBorder="1" applyAlignment="1">
      <alignment vertical="center" wrapText="1"/>
    </xf>
    <xf numFmtId="0" fontId="13" fillId="0" borderId="5" xfId="3" applyFont="1" applyFill="1" applyBorder="1" applyAlignment="1">
      <alignment vertical="center" wrapText="1"/>
    </xf>
    <xf numFmtId="43" fontId="13" fillId="0" borderId="6" xfId="1" applyFont="1" applyFill="1" applyBorder="1" applyAlignment="1">
      <alignment vertical="center" wrapText="1"/>
    </xf>
    <xf numFmtId="43" fontId="12" fillId="0" borderId="6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center" vertical="center" wrapText="1"/>
    </xf>
    <xf numFmtId="43" fontId="13" fillId="2" borderId="6" xfId="1" applyFont="1" applyFill="1" applyBorder="1" applyAlignment="1">
      <alignment horizontal="center" vertical="center" wrapText="1"/>
    </xf>
    <xf numFmtId="43" fontId="13" fillId="0" borderId="6" xfId="1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left" vertical="center" wrapText="1"/>
    </xf>
    <xf numFmtId="0" fontId="14" fillId="0" borderId="5" xfId="3" applyFont="1" applyFill="1" applyBorder="1" applyAlignment="1">
      <alignment vertical="center" wrapText="1"/>
    </xf>
    <xf numFmtId="0" fontId="14" fillId="2" borderId="0" xfId="3" applyFont="1" applyFill="1" applyBorder="1" applyAlignment="1">
      <alignment horizontal="center" vertical="center" wrapText="1"/>
    </xf>
    <xf numFmtId="0" fontId="12" fillId="2" borderId="5" xfId="3" applyFont="1" applyFill="1" applyBorder="1" applyAlignment="1">
      <alignment horizontal="left" vertical="center" wrapText="1"/>
    </xf>
    <xf numFmtId="43" fontId="12" fillId="2" borderId="6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center" vertical="center"/>
    </xf>
    <xf numFmtId="0" fontId="14" fillId="2" borderId="5" xfId="3" applyFont="1" applyFill="1" applyBorder="1" applyAlignment="1">
      <alignment horizontal="center" vertical="center"/>
    </xf>
    <xf numFmtId="49" fontId="13" fillId="2" borderId="5" xfId="3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3" fillId="0" borderId="5" xfId="3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4" fillId="0" borderId="0" xfId="3" applyFont="1" applyFill="1" applyBorder="1" applyAlignment="1">
      <alignment horizontal="left" vertical="center"/>
    </xf>
    <xf numFmtId="0" fontId="19" fillId="6" borderId="6" xfId="3" applyFont="1" applyFill="1" applyBorder="1" applyAlignment="1">
      <alignment horizontal="left" vertical="center" wrapText="1"/>
    </xf>
    <xf numFmtId="0" fontId="19" fillId="6" borderId="5" xfId="3" applyFont="1" applyFill="1" applyBorder="1" applyAlignment="1">
      <alignment horizontal="left" vertical="center" wrapText="1"/>
    </xf>
    <xf numFmtId="0" fontId="21" fillId="0" borderId="0" xfId="3" applyFont="1" applyFill="1" applyBorder="1" applyAlignment="1">
      <alignment horizontal="left" vertical="center"/>
    </xf>
    <xf numFmtId="0" fontId="4" fillId="0" borderId="11" xfId="3" applyFont="1" applyFill="1" applyBorder="1" applyAlignment="1">
      <alignment vertical="center"/>
    </xf>
    <xf numFmtId="0" fontId="22" fillId="2" borderId="0" xfId="3" applyFont="1" applyFill="1" applyBorder="1" applyAlignment="1">
      <alignment horizontal="center" vertical="center"/>
    </xf>
    <xf numFmtId="0" fontId="22" fillId="2" borderId="0" xfId="3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right"/>
      <protection locked="0"/>
    </xf>
    <xf numFmtId="0" fontId="4" fillId="0" borderId="11" xfId="3" applyFont="1" applyFill="1" applyBorder="1" applyAlignment="1">
      <alignment horizontal="right" vertical="center"/>
    </xf>
    <xf numFmtId="0" fontId="10" fillId="0" borderId="5" xfId="3" applyFont="1" applyFill="1" applyBorder="1" applyAlignment="1">
      <alignment horizontal="center" vertical="center"/>
    </xf>
    <xf numFmtId="0" fontId="14" fillId="0" borderId="5" xfId="3" applyFont="1" applyFill="1" applyBorder="1" applyAlignment="1">
      <alignment horizontal="center" vertical="center"/>
    </xf>
    <xf numFmtId="43" fontId="20" fillId="0" borderId="5" xfId="1" applyFont="1" applyFill="1" applyBorder="1" applyAlignment="1">
      <alignment vertical="center" wrapText="1"/>
    </xf>
    <xf numFmtId="0" fontId="19" fillId="7" borderId="9" xfId="0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 wrapText="1"/>
    </xf>
    <xf numFmtId="15" fontId="13" fillId="0" borderId="8" xfId="3" applyNumberFormat="1" applyFont="1" applyFill="1" applyBorder="1" applyAlignment="1">
      <alignment horizontal="center" vertical="center" wrapText="1"/>
    </xf>
    <xf numFmtId="15" fontId="13" fillId="0" borderId="4" xfId="3" applyNumberFormat="1" applyFont="1" applyFill="1" applyBorder="1" applyAlignment="1">
      <alignment horizontal="center" vertical="center" wrapText="1"/>
    </xf>
    <xf numFmtId="0" fontId="10" fillId="2" borderId="5" xfId="3" applyFont="1" applyFill="1" applyBorder="1" applyAlignment="1">
      <alignment horizontal="center" vertical="center"/>
    </xf>
    <xf numFmtId="43" fontId="20" fillId="2" borderId="5" xfId="1" applyFont="1" applyFill="1" applyBorder="1" applyAlignment="1">
      <alignment vertical="center" wrapText="1"/>
    </xf>
    <xf numFmtId="15" fontId="20" fillId="0" borderId="8" xfId="3" applyNumberFormat="1" applyFont="1" applyFill="1" applyBorder="1" applyAlignment="1">
      <alignment horizontal="center" vertical="center" wrapText="1"/>
    </xf>
    <xf numFmtId="15" fontId="20" fillId="0" borderId="4" xfId="3" applyNumberFormat="1" applyFont="1" applyFill="1" applyBorder="1" applyAlignment="1">
      <alignment horizontal="center" vertical="center" wrapText="1"/>
    </xf>
    <xf numFmtId="15" fontId="13" fillId="0" borderId="5" xfId="3" applyNumberFormat="1" applyFont="1" applyFill="1" applyBorder="1" applyAlignment="1">
      <alignment horizontal="center" vertical="center" wrapText="1"/>
    </xf>
    <xf numFmtId="15" fontId="13" fillId="2" borderId="5" xfId="3" applyNumberFormat="1" applyFont="1" applyFill="1" applyBorder="1" applyAlignment="1">
      <alignment horizontal="center" vertical="center" wrapText="1"/>
    </xf>
    <xf numFmtId="43" fontId="20" fillId="6" borderId="7" xfId="1" applyFont="1" applyFill="1" applyBorder="1" applyAlignment="1">
      <alignment vertical="center" wrapText="1"/>
    </xf>
    <xf numFmtId="43" fontId="20" fillId="6" borderId="6" xfId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center" vertical="center" wrapText="1"/>
    </xf>
    <xf numFmtId="0" fontId="13" fillId="2" borderId="4" xfId="3" applyFont="1" applyFill="1" applyBorder="1" applyAlignment="1">
      <alignment horizontal="center" vertical="center" wrapText="1"/>
    </xf>
    <xf numFmtId="15" fontId="13" fillId="2" borderId="8" xfId="3" applyNumberFormat="1" applyFont="1" applyFill="1" applyBorder="1" applyAlignment="1">
      <alignment horizontal="center" vertical="center" wrapText="1"/>
    </xf>
    <xf numFmtId="15" fontId="13" fillId="2" borderId="4" xfId="3" applyNumberFormat="1" applyFont="1" applyFill="1" applyBorder="1" applyAlignment="1">
      <alignment horizontal="center" vertical="center" wrapText="1"/>
    </xf>
    <xf numFmtId="43" fontId="20" fillId="6" borderId="5" xfId="1" applyFont="1" applyFill="1" applyBorder="1" applyAlignment="1">
      <alignment vertical="center" wrapText="1"/>
    </xf>
    <xf numFmtId="0" fontId="10" fillId="2" borderId="6" xfId="3" applyFont="1" applyFill="1" applyBorder="1" applyAlignment="1">
      <alignment horizontal="center" vertical="center"/>
    </xf>
    <xf numFmtId="43" fontId="20" fillId="6" borderId="5" xfId="4" applyFont="1" applyFill="1" applyBorder="1" applyAlignment="1">
      <alignment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center" vertical="center" wrapText="1"/>
    </xf>
    <xf numFmtId="0" fontId="13" fillId="0" borderId="8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43" fontId="13" fillId="2" borderId="8" xfId="1" applyFont="1" applyFill="1" applyBorder="1" applyAlignment="1">
      <alignment horizontal="center" vertical="center" wrapText="1"/>
    </xf>
    <xf numFmtId="43" fontId="13" fillId="2" borderId="4" xfId="1" applyFont="1" applyFill="1" applyBorder="1" applyAlignment="1">
      <alignment horizontal="center" vertical="center" wrapText="1"/>
    </xf>
    <xf numFmtId="43" fontId="22" fillId="0" borderId="5" xfId="1" applyFont="1" applyFill="1" applyBorder="1" applyAlignment="1">
      <alignment vertical="center" wrapText="1"/>
    </xf>
    <xf numFmtId="0" fontId="7" fillId="5" borderId="1" xfId="3" applyFont="1" applyFill="1" applyBorder="1" applyAlignment="1">
      <alignment horizontal="center" vertical="center" wrapText="1"/>
    </xf>
    <xf numFmtId="43" fontId="7" fillId="5" borderId="1" xfId="1" applyFont="1" applyFill="1" applyBorder="1" applyAlignment="1">
      <alignment horizontal="center" vertical="center" wrapText="1"/>
    </xf>
    <xf numFmtId="0" fontId="7" fillId="4" borderId="3" xfId="3" applyFont="1" applyFill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</cellXfs>
  <cellStyles count="5">
    <cellStyle name="Millares" xfId="1" builtinId="3"/>
    <cellStyle name="Millares 3" xfId="4"/>
    <cellStyle name="Moneda" xfId="2" builtinId="4"/>
    <cellStyle name="Normal" xfId="0" builtinId="0"/>
    <cellStyle name="Normal 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74337</xdr:colOff>
      <xdr:row>1</xdr:row>
      <xdr:rowOff>41932</xdr:rowOff>
    </xdr:from>
    <xdr:to>
      <xdr:col>2</xdr:col>
      <xdr:colOff>1078054</xdr:colOff>
      <xdr:row>2</xdr:row>
      <xdr:rowOff>209934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09" y="271846"/>
          <a:ext cx="1343114" cy="397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1068774</xdr:colOff>
      <xdr:row>1</xdr:row>
      <xdr:rowOff>51456</xdr:rowOff>
    </xdr:from>
    <xdr:to>
      <xdr:col>3</xdr:col>
      <xdr:colOff>910061</xdr:colOff>
      <xdr:row>2</xdr:row>
      <xdr:rowOff>220170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336FB83-C13D-0F4E-A5DF-1C1F5A29AA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70929" y="281370"/>
          <a:ext cx="1341201" cy="398628"/>
        </a:xfrm>
        <a:prstGeom prst="rect">
          <a:avLst/>
        </a:prstGeom>
      </xdr:spPr>
    </xdr:pic>
    <xdr:clientData/>
  </xdr:twoCellAnchor>
  <xdr:twoCellAnchor editAs="oneCell">
    <xdr:from>
      <xdr:col>13</xdr:col>
      <xdr:colOff>388916</xdr:colOff>
      <xdr:row>75</xdr:row>
      <xdr:rowOff>140947</xdr:rowOff>
    </xdr:from>
    <xdr:to>
      <xdr:col>13</xdr:col>
      <xdr:colOff>1030553</xdr:colOff>
      <xdr:row>78</xdr:row>
      <xdr:rowOff>204864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A1AA97E-E6FF-5A4E-ADBB-B65EAD9DB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074088" y="19322326"/>
          <a:ext cx="641637" cy="753659"/>
        </a:xfrm>
        <a:prstGeom prst="rect">
          <a:avLst/>
        </a:prstGeom>
      </xdr:spPr>
    </xdr:pic>
    <xdr:clientData/>
  </xdr:twoCellAnchor>
  <xdr:twoCellAnchor>
    <xdr:from>
      <xdr:col>2</xdr:col>
      <xdr:colOff>876300</xdr:colOff>
      <xdr:row>73</xdr:row>
      <xdr:rowOff>11906</xdr:rowOff>
    </xdr:from>
    <xdr:to>
      <xdr:col>4</xdr:col>
      <xdr:colOff>766379</xdr:colOff>
      <xdr:row>80</xdr:row>
      <xdr:rowOff>10950</xdr:rowOff>
    </xdr:to>
    <xdr:sp macro="" textlink="">
      <xdr:nvSpPr>
        <xdr:cNvPr id="5" name="Cuadro de texto 1"/>
        <xdr:cNvSpPr txBox="1"/>
      </xdr:nvSpPr>
      <xdr:spPr>
        <a:xfrm>
          <a:off x="1390869" y="18492596"/>
          <a:ext cx="2791372" cy="1696026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Elaboró</a:t>
          </a:r>
          <a:endParaRPr lang="es-MX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        ____________________________</a:t>
          </a:r>
        </a:p>
        <a:p>
          <a:pPr algn="ctr">
            <a:spcAft>
              <a:spcPts val="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Lic. Sofía Osorio Marín</a:t>
          </a:r>
        </a:p>
        <a:p>
          <a:pPr algn="ctr">
            <a:spcAft>
              <a:spcPts val="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Soporte Administrativo C</a:t>
          </a: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5</xdr:col>
      <xdr:colOff>722444</xdr:colOff>
      <xdr:row>73</xdr:row>
      <xdr:rowOff>19049</xdr:rowOff>
    </xdr:from>
    <xdr:to>
      <xdr:col>7</xdr:col>
      <xdr:colOff>273707</xdr:colOff>
      <xdr:row>80</xdr:row>
      <xdr:rowOff>208016</xdr:rowOff>
    </xdr:to>
    <xdr:sp macro="" textlink="">
      <xdr:nvSpPr>
        <xdr:cNvPr id="6" name="Cuadro de texto 7"/>
        <xdr:cNvSpPr txBox="1"/>
      </xdr:nvSpPr>
      <xdr:spPr>
        <a:xfrm>
          <a:off x="5769599" y="18499739"/>
          <a:ext cx="3317470" cy="1885949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100" b="1" u="sng">
              <a:solidFill>
                <a:sysClr val="windowText" lastClr="000000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Revisó</a:t>
          </a:r>
          <a:endParaRPr lang="es-MX" sz="1100">
            <a:solidFill>
              <a:sysClr val="windowText" lastClr="000000"/>
            </a:solidFill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                   ____________________________</a:t>
          </a:r>
        </a:p>
        <a:p>
          <a:pPr algn="ctr">
            <a:spcAft>
              <a:spcPts val="0"/>
            </a:spcAft>
            <a:tabLst>
              <a:tab pos="2806065" algn="ctr"/>
              <a:tab pos="5612130" algn="r"/>
            </a:tabLs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Lic. Adolfo Elizalde Lara</a:t>
          </a:r>
        </a:p>
        <a:p>
          <a:pPr algn="ctr">
            <a:spcAft>
              <a:spcPts val="0"/>
            </a:spcAft>
            <a:tabLst>
              <a:tab pos="2806065" algn="ctr"/>
              <a:tab pos="5612130" algn="r"/>
            </a:tabLs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Soporte Administrativo C</a:t>
          </a: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8</xdr:col>
      <xdr:colOff>207471</xdr:colOff>
      <xdr:row>73</xdr:row>
      <xdr:rowOff>15875</xdr:rowOff>
    </xdr:from>
    <xdr:to>
      <xdr:col>10</xdr:col>
      <xdr:colOff>908707</xdr:colOff>
      <xdr:row>80</xdr:row>
      <xdr:rowOff>208018</xdr:rowOff>
    </xdr:to>
    <xdr:sp macro="" textlink="">
      <xdr:nvSpPr>
        <xdr:cNvPr id="7" name="Cuadro de texto 8"/>
        <xdr:cNvSpPr txBox="1"/>
      </xdr:nvSpPr>
      <xdr:spPr>
        <a:xfrm>
          <a:off x="10816350" y="18496565"/>
          <a:ext cx="2956581" cy="188912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Autorizó </a:t>
          </a:r>
          <a:endParaRPr lang="es-MX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              ____________________________</a:t>
          </a:r>
        </a:p>
        <a:p>
          <a:pPr algn="ctr">
            <a:spcAft>
              <a:spcPts val="0"/>
            </a:spcAft>
            <a:tabLst>
              <a:tab pos="2806065" algn="ctr"/>
              <a:tab pos="5612130" algn="r"/>
            </a:tabLs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Lic. Evangelina Tapia Contreras</a:t>
          </a:r>
        </a:p>
        <a:p>
          <a:pPr algn="ctr">
            <a:spcAft>
              <a:spcPts val="0"/>
            </a:spcAft>
            <a:tabLst>
              <a:tab pos="2806065" algn="ctr"/>
              <a:tab pos="5612130" algn="r"/>
            </a:tabLs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Directora de Estrategia y Procesos</a:t>
          </a: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:AC227"/>
  <sheetViews>
    <sheetView tabSelected="1" topLeftCell="O1" zoomScale="87" zoomScaleNormal="87" workbookViewId="0">
      <selection activeCell="T8" sqref="T8"/>
    </sheetView>
  </sheetViews>
  <sheetFormatPr baseColWidth="10" defaultRowHeight="18" x14ac:dyDescent="0.25"/>
  <cols>
    <col min="1" max="1" width="2.5703125" style="9" customWidth="1"/>
    <col min="2" max="2" width="5.140625" style="7" customWidth="1"/>
    <col min="3" max="3" width="22.5703125" style="116" customWidth="1"/>
    <col min="4" max="4" width="21" style="5" customWidth="1"/>
    <col min="5" max="5" width="24.42578125" style="4" bestFit="1" customWidth="1"/>
    <col min="6" max="6" width="32" style="4" customWidth="1"/>
    <col min="7" max="7" width="24.42578125" style="4" bestFit="1" customWidth="1"/>
    <col min="8" max="8" width="26.85546875" style="4" bestFit="1" customWidth="1"/>
    <col min="9" max="9" width="17.28515625" style="4" customWidth="1"/>
    <col min="10" max="10" width="16.5703125" style="4" customWidth="1"/>
    <col min="11" max="11" width="20.42578125" style="4" customWidth="1"/>
    <col min="12" max="12" width="18.5703125" style="4" customWidth="1"/>
    <col min="13" max="13" width="18.42578125" style="4" customWidth="1"/>
    <col min="14" max="14" width="18.5703125" style="4" customWidth="1"/>
    <col min="15" max="15" width="17.140625" style="4" customWidth="1"/>
    <col min="16" max="16" width="27.7109375" style="4" bestFit="1" customWidth="1"/>
    <col min="17" max="17" width="15.5703125" style="4" bestFit="1" customWidth="1"/>
    <col min="18" max="18" width="20.85546875" style="4" bestFit="1" customWidth="1"/>
    <col min="19" max="19" width="23.5703125" style="4" bestFit="1" customWidth="1"/>
    <col min="20" max="20" width="22.85546875" style="4" customWidth="1"/>
    <col min="21" max="21" width="17.7109375" style="3" customWidth="1"/>
    <col min="22" max="22" width="17.85546875" style="3" bestFit="1" customWidth="1"/>
    <col min="23" max="23" width="16" style="3" bestFit="1" customWidth="1"/>
    <col min="24" max="24" width="15.28515625" style="4" bestFit="1" customWidth="1"/>
    <col min="25" max="25" width="12.5703125" style="5" customWidth="1"/>
    <col min="26" max="26" width="17.28515625" style="6" bestFit="1" customWidth="1"/>
    <col min="27" max="27" width="18.5703125" style="4" customWidth="1"/>
    <col min="28" max="28" width="18.140625" style="5" bestFit="1" customWidth="1"/>
    <col min="29" max="29" width="16.85546875" style="8" bestFit="1" customWidth="1"/>
    <col min="30" max="16384" width="11.42578125" style="9"/>
  </cols>
  <sheetData>
    <row r="1" spans="2:29" x14ac:dyDescent="0.25">
      <c r="B1" s="1"/>
      <c r="C1" s="114"/>
      <c r="D1" s="2"/>
      <c r="E1" s="3"/>
    </row>
    <row r="2" spans="2:29" x14ac:dyDescent="0.35">
      <c r="C2" s="115"/>
      <c r="D2" s="11"/>
      <c r="F2" s="11"/>
      <c r="G2" s="11"/>
      <c r="H2" s="11"/>
      <c r="I2" s="11"/>
      <c r="J2" s="123" t="s">
        <v>0</v>
      </c>
      <c r="K2" s="123"/>
      <c r="L2" s="123"/>
      <c r="M2" s="123"/>
      <c r="N2" s="11"/>
      <c r="O2" s="11"/>
      <c r="P2" s="11"/>
      <c r="Q2" s="11"/>
      <c r="R2" s="11"/>
      <c r="S2" s="11"/>
      <c r="T2" s="10"/>
    </row>
    <row r="3" spans="2:29" x14ac:dyDescent="0.35">
      <c r="C3" s="115"/>
      <c r="D3" s="11"/>
      <c r="F3" s="11"/>
      <c r="G3" s="11"/>
      <c r="H3" s="11"/>
      <c r="I3" s="123" t="s">
        <v>1</v>
      </c>
      <c r="J3" s="123"/>
      <c r="K3" s="123"/>
      <c r="L3" s="123"/>
      <c r="M3" s="123"/>
      <c r="N3" s="11"/>
      <c r="O3" s="11"/>
      <c r="P3" s="11"/>
      <c r="Q3" s="11"/>
      <c r="R3" s="11"/>
      <c r="S3" s="11"/>
      <c r="T3" s="10"/>
    </row>
    <row r="4" spans="2:29" ht="25.5" customHeight="1" x14ac:dyDescent="0.25">
      <c r="F4" s="120"/>
      <c r="G4" s="120"/>
      <c r="H4" s="120"/>
      <c r="I4" s="120"/>
      <c r="J4" s="124" t="s">
        <v>2</v>
      </c>
      <c r="K4" s="124"/>
      <c r="L4" s="124"/>
      <c r="M4" s="124"/>
      <c r="N4" s="120"/>
      <c r="O4" s="120"/>
      <c r="P4" s="120"/>
      <c r="Q4" s="120"/>
      <c r="R4" s="120"/>
      <c r="S4" s="120"/>
      <c r="T4" s="10"/>
    </row>
    <row r="5" spans="2:29" s="12" customFormat="1" ht="59.25" customHeight="1" x14ac:dyDescent="0.25">
      <c r="B5" s="160" t="s">
        <v>3</v>
      </c>
      <c r="C5" s="160" t="s">
        <v>4</v>
      </c>
      <c r="D5" s="159" t="s">
        <v>5</v>
      </c>
      <c r="E5" s="159" t="s">
        <v>6</v>
      </c>
      <c r="F5" s="159"/>
      <c r="G5" s="159"/>
      <c r="H5" s="159"/>
      <c r="I5" s="159" t="s">
        <v>7</v>
      </c>
      <c r="J5" s="159"/>
      <c r="K5" s="159"/>
      <c r="L5" s="159"/>
      <c r="M5" s="159"/>
      <c r="N5" s="159"/>
      <c r="O5" s="159"/>
      <c r="P5" s="159"/>
      <c r="Q5" s="159" t="s">
        <v>8</v>
      </c>
      <c r="R5" s="159"/>
      <c r="S5" s="159"/>
      <c r="T5" s="159"/>
      <c r="U5" s="159" t="s">
        <v>9</v>
      </c>
      <c r="V5" s="159" t="s">
        <v>10</v>
      </c>
      <c r="W5" s="159"/>
      <c r="X5" s="159" t="s">
        <v>11</v>
      </c>
      <c r="Y5" s="159"/>
      <c r="Z5" s="159"/>
      <c r="AA5" s="159" t="s">
        <v>12</v>
      </c>
      <c r="AB5" s="158" t="s">
        <v>13</v>
      </c>
      <c r="AC5" s="158" t="s">
        <v>14</v>
      </c>
    </row>
    <row r="6" spans="2:29" s="13" customFormat="1" ht="36.75" customHeight="1" x14ac:dyDescent="0.25">
      <c r="B6" s="160"/>
      <c r="C6" s="160"/>
      <c r="D6" s="159"/>
      <c r="E6" s="156" t="s">
        <v>15</v>
      </c>
      <c r="F6" s="156" t="s">
        <v>16</v>
      </c>
      <c r="G6" s="156" t="s">
        <v>17</v>
      </c>
      <c r="H6" s="156" t="s">
        <v>18</v>
      </c>
      <c r="I6" s="156" t="s">
        <v>19</v>
      </c>
      <c r="J6" s="156"/>
      <c r="K6" s="156" t="s">
        <v>20</v>
      </c>
      <c r="L6" s="156"/>
      <c r="M6" s="156" t="s">
        <v>21</v>
      </c>
      <c r="N6" s="156"/>
      <c r="O6" s="156" t="s">
        <v>22</v>
      </c>
      <c r="P6" s="156"/>
      <c r="Q6" s="156" t="s">
        <v>19</v>
      </c>
      <c r="R6" s="156" t="s">
        <v>23</v>
      </c>
      <c r="S6" s="156" t="s">
        <v>24</v>
      </c>
      <c r="T6" s="156" t="s">
        <v>25</v>
      </c>
      <c r="U6" s="159"/>
      <c r="V6" s="156">
        <v>1</v>
      </c>
      <c r="W6" s="156">
        <v>2</v>
      </c>
      <c r="X6" s="156">
        <v>1</v>
      </c>
      <c r="Y6" s="156">
        <v>2</v>
      </c>
      <c r="Z6" s="157" t="s">
        <v>26</v>
      </c>
      <c r="AA6" s="159"/>
      <c r="AB6" s="158"/>
      <c r="AC6" s="158"/>
    </row>
    <row r="7" spans="2:29" s="13" customFormat="1" ht="27" customHeight="1" x14ac:dyDescent="0.25">
      <c r="B7" s="160"/>
      <c r="C7" s="160"/>
      <c r="D7" s="159"/>
      <c r="E7" s="156"/>
      <c r="F7" s="156"/>
      <c r="G7" s="156"/>
      <c r="H7" s="156"/>
      <c r="I7" s="14" t="s">
        <v>27</v>
      </c>
      <c r="J7" s="14" t="s">
        <v>9</v>
      </c>
      <c r="K7" s="14" t="s">
        <v>27</v>
      </c>
      <c r="L7" s="14" t="s">
        <v>9</v>
      </c>
      <c r="M7" s="14" t="s">
        <v>27</v>
      </c>
      <c r="N7" s="14" t="s">
        <v>9</v>
      </c>
      <c r="O7" s="14" t="s">
        <v>27</v>
      </c>
      <c r="P7" s="14" t="s">
        <v>9</v>
      </c>
      <c r="Q7" s="156"/>
      <c r="R7" s="156"/>
      <c r="S7" s="156"/>
      <c r="T7" s="156"/>
      <c r="U7" s="159"/>
      <c r="V7" s="156"/>
      <c r="W7" s="156"/>
      <c r="X7" s="156"/>
      <c r="Y7" s="156"/>
      <c r="Z7" s="157"/>
      <c r="AA7" s="159"/>
      <c r="AB7" s="158"/>
      <c r="AC7" s="158"/>
    </row>
    <row r="8" spans="2:29" s="15" customFormat="1" ht="18" customHeight="1" x14ac:dyDescent="0.35">
      <c r="B8" s="129">
        <v>1</v>
      </c>
      <c r="C8" s="117" t="s">
        <v>28</v>
      </c>
      <c r="D8" s="140">
        <v>2532649</v>
      </c>
      <c r="E8" s="34"/>
      <c r="F8" s="35">
        <f>136.64+63.38+2061.29+2127.61</f>
        <v>4388.92</v>
      </c>
      <c r="G8" s="36">
        <f>200.02+2061.29+2127.61+2042.53+2235.8+2260.13</f>
        <v>10927.380000000001</v>
      </c>
      <c r="H8" s="35">
        <v>17105.939999999999</v>
      </c>
      <c r="I8" s="35"/>
      <c r="J8" s="35"/>
      <c r="K8" s="35">
        <v>0</v>
      </c>
      <c r="L8" s="35">
        <v>0</v>
      </c>
      <c r="M8" s="36">
        <v>1155067.92</v>
      </c>
      <c r="N8" s="36">
        <v>130985.4</v>
      </c>
      <c r="O8" s="35">
        <v>2445268.6800000002</v>
      </c>
      <c r="P8" s="35">
        <f>2445268.68-N8</f>
        <v>2314283.2800000003</v>
      </c>
      <c r="Q8" s="35">
        <v>0</v>
      </c>
      <c r="R8" s="35">
        <v>0</v>
      </c>
      <c r="S8" s="36">
        <f>37340.4+79375+14270</f>
        <v>130985.4</v>
      </c>
      <c r="T8" s="35">
        <f>P8-19476.12+19476.12</f>
        <v>2314283.2800000003</v>
      </c>
      <c r="U8" s="35">
        <f>Q8+R8+S8+T8</f>
        <v>2445268.6800000002</v>
      </c>
      <c r="V8" s="37">
        <v>87380.32</v>
      </c>
      <c r="W8" s="34"/>
      <c r="X8" s="38">
        <v>1663700</v>
      </c>
      <c r="Y8" s="34"/>
      <c r="Z8" s="35">
        <f>V8+W8</f>
        <v>87380.32</v>
      </c>
      <c r="AA8" s="39">
        <f>U8+V8+W8</f>
        <v>2532649</v>
      </c>
      <c r="AB8" s="40">
        <f>D8-AA8</f>
        <v>0</v>
      </c>
      <c r="AC8" s="41" t="s">
        <v>29</v>
      </c>
    </row>
    <row r="9" spans="2:29" s="17" customFormat="1" ht="18.75" customHeight="1" x14ac:dyDescent="0.25">
      <c r="B9" s="125"/>
      <c r="C9" s="104" t="s">
        <v>28</v>
      </c>
      <c r="D9" s="145"/>
      <c r="E9" s="94"/>
      <c r="F9" s="95" t="s">
        <v>30</v>
      </c>
      <c r="G9" s="96" t="s">
        <v>31</v>
      </c>
      <c r="H9" s="96" t="s">
        <v>32</v>
      </c>
      <c r="I9" s="130"/>
      <c r="J9" s="130"/>
      <c r="K9" s="130" t="s">
        <v>33</v>
      </c>
      <c r="L9" s="130"/>
      <c r="M9" s="137" t="s">
        <v>31</v>
      </c>
      <c r="N9" s="137"/>
      <c r="O9" s="131" t="s">
        <v>32</v>
      </c>
      <c r="P9" s="132"/>
      <c r="Q9" s="94"/>
      <c r="R9" s="95" t="s">
        <v>30</v>
      </c>
      <c r="S9" s="96" t="s">
        <v>31</v>
      </c>
      <c r="T9" s="96" t="s">
        <v>32</v>
      </c>
      <c r="U9" s="97"/>
      <c r="V9" s="98"/>
      <c r="W9" s="94"/>
      <c r="X9" s="98"/>
      <c r="Y9" s="94"/>
      <c r="Z9" s="99">
        <f t="shared" ref="Z9:Z67" si="0">V9+W9</f>
        <v>0</v>
      </c>
      <c r="AA9" s="98"/>
      <c r="AB9" s="93"/>
      <c r="AC9" s="100"/>
    </row>
    <row r="10" spans="2:29" s="15" customFormat="1" ht="18" customHeight="1" x14ac:dyDescent="0.35">
      <c r="B10" s="125">
        <v>2</v>
      </c>
      <c r="C10" s="63" t="s">
        <v>34</v>
      </c>
      <c r="D10" s="127">
        <v>3059745</v>
      </c>
      <c r="E10" s="49">
        <v>0</v>
      </c>
      <c r="F10" s="46">
        <v>49.3</v>
      </c>
      <c r="G10" s="50">
        <v>203.21</v>
      </c>
      <c r="H10" s="43"/>
      <c r="I10" s="43"/>
      <c r="J10" s="49">
        <v>0</v>
      </c>
      <c r="K10" s="43"/>
      <c r="L10" s="50">
        <f>7200+16800+15000+10309.51</f>
        <v>49309.51</v>
      </c>
      <c r="M10" s="43"/>
      <c r="N10" s="49">
        <f>77359.51-L10</f>
        <v>28049.999999999993</v>
      </c>
      <c r="O10" s="43"/>
      <c r="P10" s="43"/>
      <c r="Q10" s="49">
        <v>0</v>
      </c>
      <c r="R10" s="50">
        <f>7200+16800+15000+10309.51</f>
        <v>49309.51</v>
      </c>
      <c r="S10" s="50">
        <f>15000+5800+5800+1450</f>
        <v>28050</v>
      </c>
      <c r="T10" s="43"/>
      <c r="U10" s="45">
        <f t="shared" ref="U10:U66" si="1">Q10+R10+S10+T10</f>
        <v>77359.510000000009</v>
      </c>
      <c r="V10" s="51">
        <v>281164.27</v>
      </c>
      <c r="W10" s="43"/>
      <c r="X10" s="52">
        <v>1668592</v>
      </c>
      <c r="Y10" s="43"/>
      <c r="Z10" s="47">
        <f t="shared" si="0"/>
        <v>281164.27</v>
      </c>
      <c r="AA10" s="53">
        <f>U10+V10+W10</f>
        <v>358523.78</v>
      </c>
      <c r="AB10" s="54">
        <f>D10-AA10</f>
        <v>2701221.2199999997</v>
      </c>
      <c r="AC10" s="48"/>
    </row>
    <row r="11" spans="2:29" s="17" customFormat="1" ht="18" customHeight="1" x14ac:dyDescent="0.25">
      <c r="B11" s="125"/>
      <c r="C11" s="104" t="s">
        <v>34</v>
      </c>
      <c r="D11" s="127"/>
      <c r="E11" s="101">
        <v>12059</v>
      </c>
      <c r="F11" s="95">
        <v>12060</v>
      </c>
      <c r="G11" s="96" t="s">
        <v>35</v>
      </c>
      <c r="H11" s="96"/>
      <c r="I11" s="96"/>
      <c r="J11" s="101">
        <v>12059</v>
      </c>
      <c r="K11" s="96"/>
      <c r="L11" s="101">
        <v>12060</v>
      </c>
      <c r="M11" s="137" t="s">
        <v>36</v>
      </c>
      <c r="N11" s="137"/>
      <c r="O11" s="96"/>
      <c r="P11" s="96"/>
      <c r="Q11" s="101">
        <v>12059</v>
      </c>
      <c r="R11" s="101">
        <v>12060</v>
      </c>
      <c r="S11" s="96" t="s">
        <v>36</v>
      </c>
      <c r="T11" s="96"/>
      <c r="U11" s="102"/>
      <c r="V11" s="95"/>
      <c r="W11" s="96"/>
      <c r="X11" s="95"/>
      <c r="Y11" s="96"/>
      <c r="Z11" s="103">
        <f t="shared" si="0"/>
        <v>0</v>
      </c>
      <c r="AA11" s="95"/>
      <c r="AB11" s="16"/>
      <c r="AC11" s="100"/>
    </row>
    <row r="12" spans="2:29" s="15" customFormat="1" ht="18" customHeight="1" x14ac:dyDescent="0.35">
      <c r="B12" s="125">
        <v>3</v>
      </c>
      <c r="C12" s="73" t="s">
        <v>37</v>
      </c>
      <c r="D12" s="127">
        <v>1580743</v>
      </c>
      <c r="E12" s="55"/>
      <c r="F12" s="56">
        <v>31.17</v>
      </c>
      <c r="G12" s="55"/>
      <c r="H12" s="55"/>
      <c r="I12" s="55"/>
      <c r="J12" s="55"/>
      <c r="K12" s="57">
        <v>230577.53</v>
      </c>
      <c r="L12" s="57">
        <v>230577.53</v>
      </c>
      <c r="M12" s="55"/>
      <c r="N12" s="55"/>
      <c r="O12" s="55"/>
      <c r="P12" s="55"/>
      <c r="Q12" s="55"/>
      <c r="R12" s="55"/>
      <c r="S12" s="55"/>
      <c r="T12" s="55"/>
      <c r="U12" s="45">
        <f t="shared" si="1"/>
        <v>0</v>
      </c>
      <c r="V12" s="58">
        <v>381443.03</v>
      </c>
      <c r="W12" s="55"/>
      <c r="X12" s="59">
        <v>1673448</v>
      </c>
      <c r="Y12" s="55"/>
      <c r="Z12" s="45">
        <f t="shared" si="0"/>
        <v>381443.03</v>
      </c>
      <c r="AA12" s="60">
        <f>U12+V12+W12</f>
        <v>381443.03</v>
      </c>
      <c r="AB12" s="61">
        <f>D12-AA12</f>
        <v>1199299.97</v>
      </c>
      <c r="AC12" s="62"/>
    </row>
    <row r="13" spans="2:29" s="17" customFormat="1" ht="18" customHeight="1" x14ac:dyDescent="0.25">
      <c r="B13" s="125"/>
      <c r="C13" s="104" t="s">
        <v>37</v>
      </c>
      <c r="D13" s="127"/>
      <c r="E13" s="96"/>
      <c r="F13" s="95" t="s">
        <v>38</v>
      </c>
      <c r="G13" s="96"/>
      <c r="H13" s="96"/>
      <c r="I13" s="96"/>
      <c r="J13" s="96"/>
      <c r="K13" s="137" t="s">
        <v>38</v>
      </c>
      <c r="L13" s="137"/>
      <c r="M13" s="96"/>
      <c r="N13" s="96"/>
      <c r="O13" s="96"/>
      <c r="P13" s="96"/>
      <c r="Q13" s="96"/>
      <c r="R13" s="96"/>
      <c r="S13" s="96"/>
      <c r="T13" s="96"/>
      <c r="U13" s="102"/>
      <c r="V13" s="95"/>
      <c r="W13" s="96"/>
      <c r="X13" s="95"/>
      <c r="Y13" s="96"/>
      <c r="Z13" s="103">
        <f t="shared" si="0"/>
        <v>0</v>
      </c>
      <c r="AA13" s="95"/>
      <c r="AB13" s="16"/>
      <c r="AC13" s="100"/>
    </row>
    <row r="14" spans="2:29" s="18" customFormat="1" ht="18" customHeight="1" x14ac:dyDescent="0.35">
      <c r="B14" s="129">
        <v>4</v>
      </c>
      <c r="C14" s="73" t="s">
        <v>39</v>
      </c>
      <c r="D14" s="134">
        <v>3231461</v>
      </c>
      <c r="E14" s="55"/>
      <c r="F14" s="56">
        <v>78.989999999999995</v>
      </c>
      <c r="G14" s="55"/>
      <c r="H14" s="55"/>
      <c r="I14" s="57">
        <v>0</v>
      </c>
      <c r="J14" s="57">
        <v>0</v>
      </c>
      <c r="K14" s="64">
        <v>3231000</v>
      </c>
      <c r="L14" s="57">
        <v>0</v>
      </c>
      <c r="M14" s="64">
        <v>3231000</v>
      </c>
      <c r="N14" s="57">
        <v>0</v>
      </c>
      <c r="O14" s="55"/>
      <c r="P14" s="55"/>
      <c r="Q14" s="57">
        <v>0</v>
      </c>
      <c r="R14" s="57">
        <v>0</v>
      </c>
      <c r="S14" s="57">
        <v>0</v>
      </c>
      <c r="T14" s="55"/>
      <c r="U14" s="45">
        <f t="shared" si="1"/>
        <v>0</v>
      </c>
      <c r="V14" s="51">
        <v>40270.660000000003</v>
      </c>
      <c r="W14" s="55"/>
      <c r="X14" s="52">
        <v>1668075</v>
      </c>
      <c r="Y14" s="55"/>
      <c r="Z14" s="47">
        <f t="shared" si="0"/>
        <v>40270.660000000003</v>
      </c>
      <c r="AA14" s="53">
        <f>U14+V14+W14</f>
        <v>40270.660000000003</v>
      </c>
      <c r="AB14" s="54">
        <f>D14-AA14</f>
        <v>3191190.34</v>
      </c>
      <c r="AC14" s="48"/>
    </row>
    <row r="15" spans="2:29" s="17" customFormat="1" ht="18" customHeight="1" x14ac:dyDescent="0.25">
      <c r="B15" s="125"/>
      <c r="C15" s="104" t="s">
        <v>39</v>
      </c>
      <c r="D15" s="127"/>
      <c r="E15" s="94"/>
      <c r="F15" s="95" t="s">
        <v>40</v>
      </c>
      <c r="G15" s="94"/>
      <c r="H15" s="94"/>
      <c r="I15" s="94"/>
      <c r="J15" s="94"/>
      <c r="K15" s="131" t="s">
        <v>40</v>
      </c>
      <c r="L15" s="132"/>
      <c r="M15" s="131" t="s">
        <v>40</v>
      </c>
      <c r="N15" s="132"/>
      <c r="O15" s="94"/>
      <c r="P15" s="94"/>
      <c r="Q15" s="94"/>
      <c r="R15" s="131" t="s">
        <v>40</v>
      </c>
      <c r="S15" s="132"/>
      <c r="T15" s="94"/>
      <c r="U15" s="97"/>
      <c r="V15" s="98"/>
      <c r="W15" s="94"/>
      <c r="X15" s="98"/>
      <c r="Y15" s="94"/>
      <c r="Z15" s="99">
        <f t="shared" si="0"/>
        <v>0</v>
      </c>
      <c r="AA15" s="98"/>
      <c r="AB15" s="93"/>
      <c r="AC15" s="100"/>
    </row>
    <row r="16" spans="2:29" s="15" customFormat="1" ht="18" customHeight="1" x14ac:dyDescent="0.35">
      <c r="B16" s="125">
        <v>5</v>
      </c>
      <c r="C16" s="118" t="s">
        <v>41</v>
      </c>
      <c r="D16" s="145">
        <v>3610711</v>
      </c>
      <c r="E16" s="65">
        <v>0</v>
      </c>
      <c r="F16" s="65">
        <f>626.85+621.96+602.02+566.68</f>
        <v>2417.5099999999998</v>
      </c>
      <c r="G16" s="65">
        <f>1198.36+533.73</f>
        <v>1732.09</v>
      </c>
      <c r="H16" s="65">
        <v>1359.52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f>113882.61+78114.91</f>
        <v>191997.52000000002</v>
      </c>
      <c r="O16" s="65">
        <v>0</v>
      </c>
      <c r="P16" s="65">
        <v>2038815.37</v>
      </c>
      <c r="Q16" s="66"/>
      <c r="R16" s="66"/>
      <c r="S16" s="65">
        <f>66816+11849.96+35216.65+78114.91</f>
        <v>191997.52</v>
      </c>
      <c r="T16" s="65">
        <f>2116930.28-78114.91-286606+286606</f>
        <v>2038815.3699999999</v>
      </c>
      <c r="U16" s="35">
        <f t="shared" si="1"/>
        <v>2230812.8899999997</v>
      </c>
      <c r="V16" s="67">
        <v>1379898.11</v>
      </c>
      <c r="W16" s="66"/>
      <c r="X16" s="38">
        <v>1668595</v>
      </c>
      <c r="Y16" s="66"/>
      <c r="Z16" s="35">
        <f t="shared" si="0"/>
        <v>1379898.11</v>
      </c>
      <c r="AA16" s="39">
        <f>U16+V16+W16</f>
        <v>3610711</v>
      </c>
      <c r="AB16" s="40">
        <f>D16-AA16</f>
        <v>0</v>
      </c>
      <c r="AC16" s="41" t="s">
        <v>29</v>
      </c>
    </row>
    <row r="17" spans="2:29" s="17" customFormat="1" ht="18" customHeight="1" x14ac:dyDescent="0.25">
      <c r="B17" s="125"/>
      <c r="C17" s="104" t="s">
        <v>41</v>
      </c>
      <c r="D17" s="145"/>
      <c r="E17" s="96" t="s">
        <v>42</v>
      </c>
      <c r="F17" s="95" t="s">
        <v>42</v>
      </c>
      <c r="G17" s="96" t="s">
        <v>42</v>
      </c>
      <c r="H17" s="96" t="s">
        <v>43</v>
      </c>
      <c r="I17" s="131" t="s">
        <v>42</v>
      </c>
      <c r="J17" s="132"/>
      <c r="K17" s="131" t="s">
        <v>42</v>
      </c>
      <c r="L17" s="132"/>
      <c r="M17" s="131" t="s">
        <v>42</v>
      </c>
      <c r="N17" s="132"/>
      <c r="O17" s="131" t="s">
        <v>43</v>
      </c>
      <c r="P17" s="132"/>
      <c r="Q17" s="94"/>
      <c r="R17" s="94"/>
      <c r="S17" s="96" t="s">
        <v>43</v>
      </c>
      <c r="T17" s="96" t="s">
        <v>43</v>
      </c>
      <c r="U17" s="97"/>
      <c r="V17" s="98"/>
      <c r="W17" s="94"/>
      <c r="X17" s="98"/>
      <c r="Y17" s="94"/>
      <c r="Z17" s="99">
        <f t="shared" si="0"/>
        <v>0</v>
      </c>
      <c r="AA17" s="98"/>
      <c r="AB17" s="93"/>
      <c r="AC17" s="100"/>
    </row>
    <row r="18" spans="2:29" s="15" customFormat="1" ht="18" customHeight="1" x14ac:dyDescent="0.35">
      <c r="B18" s="125">
        <v>6</v>
      </c>
      <c r="C18" s="118" t="s">
        <v>44</v>
      </c>
      <c r="D18" s="145">
        <v>6566889</v>
      </c>
      <c r="E18" s="66"/>
      <c r="F18" s="65">
        <v>58662.78</v>
      </c>
      <c r="G18" s="68">
        <v>140426.03</v>
      </c>
      <c r="H18" s="68">
        <v>208064.52</v>
      </c>
      <c r="I18" s="66"/>
      <c r="J18" s="66"/>
      <c r="K18" s="65">
        <v>0</v>
      </c>
      <c r="L18" s="65">
        <v>0</v>
      </c>
      <c r="M18" s="65">
        <v>1459792.97</v>
      </c>
      <c r="N18" s="65">
        <v>0</v>
      </c>
      <c r="O18" s="65">
        <v>6397990.0599999996</v>
      </c>
      <c r="P18" s="69">
        <v>6397990.0599999996</v>
      </c>
      <c r="Q18" s="66"/>
      <c r="R18" s="66"/>
      <c r="S18" s="66"/>
      <c r="T18" s="65">
        <f>4556430.02+1687625.72+153934.32</f>
        <v>6397990.0599999996</v>
      </c>
      <c r="U18" s="35">
        <f t="shared" si="1"/>
        <v>6397990.0599999996</v>
      </c>
      <c r="V18" s="37">
        <v>168898.94</v>
      </c>
      <c r="W18" s="66"/>
      <c r="X18" s="38">
        <v>1663681</v>
      </c>
      <c r="Y18" s="66"/>
      <c r="Z18" s="65">
        <f t="shared" si="0"/>
        <v>168898.94</v>
      </c>
      <c r="AA18" s="39">
        <f>U18+V18+W18</f>
        <v>6566889</v>
      </c>
      <c r="AB18" s="40">
        <f>D18-AA18</f>
        <v>0</v>
      </c>
      <c r="AC18" s="41" t="s">
        <v>29</v>
      </c>
    </row>
    <row r="19" spans="2:29" s="17" customFormat="1" ht="20.25" customHeight="1" x14ac:dyDescent="0.25">
      <c r="B19" s="125"/>
      <c r="C19" s="104" t="s">
        <v>44</v>
      </c>
      <c r="D19" s="145"/>
      <c r="E19" s="94"/>
      <c r="F19" s="95" t="s">
        <v>45</v>
      </c>
      <c r="G19" s="96" t="s">
        <v>46</v>
      </c>
      <c r="H19" s="96" t="s">
        <v>47</v>
      </c>
      <c r="I19" s="94"/>
      <c r="J19" s="94"/>
      <c r="K19" s="151" t="s">
        <v>45</v>
      </c>
      <c r="L19" s="152"/>
      <c r="M19" s="131" t="s">
        <v>46</v>
      </c>
      <c r="N19" s="132"/>
      <c r="O19" s="131" t="s">
        <v>47</v>
      </c>
      <c r="P19" s="132"/>
      <c r="Q19" s="94"/>
      <c r="R19" s="94"/>
      <c r="S19" s="94"/>
      <c r="T19" s="96" t="s">
        <v>48</v>
      </c>
      <c r="U19" s="97"/>
      <c r="V19" s="98"/>
      <c r="W19" s="94"/>
      <c r="X19" s="98"/>
      <c r="Y19" s="94"/>
      <c r="Z19" s="99">
        <f t="shared" si="0"/>
        <v>0</v>
      </c>
      <c r="AA19" s="98"/>
      <c r="AB19" s="93"/>
      <c r="AC19" s="100"/>
    </row>
    <row r="20" spans="2:29" s="19" customFormat="1" ht="18" customHeight="1" x14ac:dyDescent="0.35">
      <c r="B20" s="129">
        <v>7</v>
      </c>
      <c r="C20" s="73" t="s">
        <v>49</v>
      </c>
      <c r="D20" s="155">
        <v>2711430</v>
      </c>
      <c r="E20" s="57">
        <v>0</v>
      </c>
      <c r="F20" s="70">
        <v>5546</v>
      </c>
      <c r="G20" s="55"/>
      <c r="H20" s="55"/>
      <c r="I20" s="57">
        <v>0</v>
      </c>
      <c r="J20" s="57">
        <v>0</v>
      </c>
      <c r="K20" s="71">
        <v>803354.32</v>
      </c>
      <c r="L20" s="71">
        <v>12579.54</v>
      </c>
      <c r="M20" s="71"/>
      <c r="N20" s="71"/>
      <c r="O20" s="71"/>
      <c r="P20" s="71"/>
      <c r="Q20" s="71"/>
      <c r="R20" s="71">
        <f>12579.54-3600+3600</f>
        <v>12579.54</v>
      </c>
      <c r="S20" s="71"/>
      <c r="T20" s="71"/>
      <c r="U20" s="45">
        <f t="shared" si="1"/>
        <v>12579.54</v>
      </c>
      <c r="V20" s="51">
        <v>64893.69</v>
      </c>
      <c r="W20" s="55"/>
      <c r="X20" s="52">
        <v>1671497</v>
      </c>
      <c r="Y20" s="55"/>
      <c r="Z20" s="47">
        <f t="shared" si="0"/>
        <v>64893.69</v>
      </c>
      <c r="AA20" s="53">
        <f>U20+V20+W20</f>
        <v>77473.23000000001</v>
      </c>
      <c r="AB20" s="54">
        <f>D20-AA20</f>
        <v>2633956.77</v>
      </c>
      <c r="AC20" s="48"/>
    </row>
    <row r="21" spans="2:29" s="106" customFormat="1" ht="18" customHeight="1" x14ac:dyDescent="0.25">
      <c r="B21" s="125"/>
      <c r="C21" s="104" t="s">
        <v>49</v>
      </c>
      <c r="D21" s="155"/>
      <c r="E21" s="96" t="s">
        <v>50</v>
      </c>
      <c r="F21" s="96" t="s">
        <v>50</v>
      </c>
      <c r="G21" s="94"/>
      <c r="H21" s="94"/>
      <c r="I21" s="131" t="s">
        <v>50</v>
      </c>
      <c r="J21" s="132"/>
      <c r="K21" s="131" t="s">
        <v>50</v>
      </c>
      <c r="L21" s="132"/>
      <c r="M21" s="94"/>
      <c r="N21" s="94"/>
      <c r="O21" s="94"/>
      <c r="P21" s="94"/>
      <c r="Q21" s="94"/>
      <c r="R21" s="96" t="s">
        <v>51</v>
      </c>
      <c r="S21" s="96"/>
      <c r="T21" s="94"/>
      <c r="U21" s="97"/>
      <c r="V21" s="105"/>
      <c r="W21" s="94"/>
      <c r="X21" s="98"/>
      <c r="Y21" s="94"/>
      <c r="Z21" s="99">
        <f t="shared" si="0"/>
        <v>0</v>
      </c>
      <c r="AA21" s="105"/>
      <c r="AB21" s="93"/>
      <c r="AC21" s="100"/>
    </row>
    <row r="22" spans="2:29" s="19" customFormat="1" ht="18" customHeight="1" x14ac:dyDescent="0.35">
      <c r="B22" s="125">
        <v>8</v>
      </c>
      <c r="C22" s="118" t="s">
        <v>52</v>
      </c>
      <c r="D22" s="145">
        <v>2664014</v>
      </c>
      <c r="E22" s="65">
        <v>239.55</v>
      </c>
      <c r="F22" s="65">
        <v>6912.6</v>
      </c>
      <c r="G22" s="68">
        <v>326.04000000000002</v>
      </c>
      <c r="H22" s="66"/>
      <c r="I22" s="65">
        <v>0</v>
      </c>
      <c r="J22" s="65">
        <v>0</v>
      </c>
      <c r="K22" s="65">
        <v>826654.8</v>
      </c>
      <c r="L22" s="65">
        <v>1852867.94</v>
      </c>
      <c r="M22" s="65">
        <v>97497.05</v>
      </c>
      <c r="N22" s="65">
        <f>2566516.95-1837359.2</f>
        <v>729157.75000000023</v>
      </c>
      <c r="O22" s="65">
        <v>0</v>
      </c>
      <c r="P22" s="65">
        <v>80000</v>
      </c>
      <c r="Q22" s="65">
        <v>0</v>
      </c>
      <c r="R22" s="68">
        <f>209213.66+1199342.49+253900+30497.79+59914+100000</f>
        <v>1852867.94</v>
      </c>
      <c r="S22" s="68">
        <f>210000+249157.75+270000</f>
        <v>729157.75</v>
      </c>
      <c r="T22" s="68">
        <v>80000</v>
      </c>
      <c r="U22" s="35">
        <f t="shared" si="1"/>
        <v>2662025.69</v>
      </c>
      <c r="V22" s="67">
        <v>1988.31</v>
      </c>
      <c r="W22" s="66"/>
      <c r="X22" s="38">
        <v>1671448</v>
      </c>
      <c r="Y22" s="66"/>
      <c r="Z22" s="65">
        <f t="shared" si="0"/>
        <v>1988.31</v>
      </c>
      <c r="AA22" s="39">
        <f>U22+V22+W22</f>
        <v>2664014</v>
      </c>
      <c r="AB22" s="40">
        <f>D22-AA22</f>
        <v>0</v>
      </c>
      <c r="AC22" s="41" t="s">
        <v>29</v>
      </c>
    </row>
    <row r="23" spans="2:29" s="106" customFormat="1" ht="18" customHeight="1" x14ac:dyDescent="0.25">
      <c r="B23" s="125"/>
      <c r="C23" s="104" t="s">
        <v>52</v>
      </c>
      <c r="D23" s="145"/>
      <c r="E23" s="96" t="s">
        <v>53</v>
      </c>
      <c r="F23" s="95" t="s">
        <v>53</v>
      </c>
      <c r="G23" s="96" t="s">
        <v>53</v>
      </c>
      <c r="H23" s="94"/>
      <c r="I23" s="131" t="s">
        <v>53</v>
      </c>
      <c r="J23" s="132"/>
      <c r="K23" s="130" t="s">
        <v>53</v>
      </c>
      <c r="L23" s="130"/>
      <c r="M23" s="137" t="s">
        <v>53</v>
      </c>
      <c r="N23" s="137"/>
      <c r="O23" s="137" t="s">
        <v>54</v>
      </c>
      <c r="P23" s="137"/>
      <c r="Q23" s="94"/>
      <c r="R23" s="96" t="s">
        <v>53</v>
      </c>
      <c r="S23" s="96" t="s">
        <v>53</v>
      </c>
      <c r="T23" s="94"/>
      <c r="U23" s="97"/>
      <c r="V23" s="98"/>
      <c r="W23" s="94"/>
      <c r="X23" s="98"/>
      <c r="Y23" s="94"/>
      <c r="Z23" s="99">
        <f t="shared" si="0"/>
        <v>0</v>
      </c>
      <c r="AA23" s="98"/>
      <c r="AB23" s="93"/>
      <c r="AC23" s="100"/>
    </row>
    <row r="24" spans="2:29" s="19" customFormat="1" ht="18" customHeight="1" x14ac:dyDescent="0.35">
      <c r="B24" s="125">
        <v>9</v>
      </c>
      <c r="C24" s="118" t="s">
        <v>55</v>
      </c>
      <c r="D24" s="145">
        <v>3124031</v>
      </c>
      <c r="E24" s="65">
        <v>0</v>
      </c>
      <c r="F24" s="72"/>
      <c r="G24" s="66"/>
      <c r="H24" s="66"/>
      <c r="I24" s="65">
        <v>0</v>
      </c>
      <c r="J24" s="65">
        <v>0</v>
      </c>
      <c r="K24" s="65">
        <v>0</v>
      </c>
      <c r="L24" s="65">
        <v>423079.21</v>
      </c>
      <c r="M24" s="65">
        <v>0</v>
      </c>
      <c r="N24" s="65">
        <v>243662.63</v>
      </c>
      <c r="O24" s="65">
        <v>0</v>
      </c>
      <c r="P24" s="65">
        <f>3071798.72-L24-N24</f>
        <v>2405056.8800000004</v>
      </c>
      <c r="Q24" s="66"/>
      <c r="R24" s="69">
        <f>L24</f>
        <v>423079.21</v>
      </c>
      <c r="S24" s="65">
        <f>N24</f>
        <v>243662.63</v>
      </c>
      <c r="T24" s="65">
        <f>P24</f>
        <v>2405056.8800000004</v>
      </c>
      <c r="U24" s="35">
        <f t="shared" si="1"/>
        <v>3071798.7200000007</v>
      </c>
      <c r="V24" s="67">
        <v>52232.28</v>
      </c>
      <c r="W24" s="66"/>
      <c r="X24" s="38">
        <v>1670336</v>
      </c>
      <c r="Y24" s="66"/>
      <c r="Z24" s="35">
        <f t="shared" si="0"/>
        <v>52232.28</v>
      </c>
      <c r="AA24" s="39">
        <f>U24+V24+W24</f>
        <v>3124031.0000000005</v>
      </c>
      <c r="AB24" s="40">
        <f>D24-AA24</f>
        <v>0</v>
      </c>
      <c r="AC24" s="41" t="s">
        <v>29</v>
      </c>
    </row>
    <row r="25" spans="2:29" s="106" customFormat="1" ht="18" customHeight="1" x14ac:dyDescent="0.25">
      <c r="B25" s="125"/>
      <c r="C25" s="107" t="s">
        <v>55</v>
      </c>
      <c r="D25" s="145"/>
      <c r="E25" s="22" t="s">
        <v>56</v>
      </c>
      <c r="F25" s="21"/>
      <c r="G25" s="22"/>
      <c r="H25" s="22"/>
      <c r="I25" s="143" t="s">
        <v>43</v>
      </c>
      <c r="J25" s="144"/>
      <c r="K25" s="143" t="s">
        <v>43</v>
      </c>
      <c r="L25" s="144"/>
      <c r="M25" s="143" t="s">
        <v>57</v>
      </c>
      <c r="N25" s="144"/>
      <c r="O25" s="153" t="s">
        <v>43</v>
      </c>
      <c r="P25" s="154"/>
      <c r="Q25" s="22"/>
      <c r="R25" s="22"/>
      <c r="S25" s="22"/>
      <c r="T25" s="22"/>
      <c r="U25" s="102"/>
      <c r="V25" s="21"/>
      <c r="W25" s="22"/>
      <c r="X25" s="21"/>
      <c r="Y25" s="22"/>
      <c r="Z25" s="102">
        <f t="shared" si="0"/>
        <v>0</v>
      </c>
      <c r="AA25" s="21"/>
      <c r="AB25" s="20"/>
      <c r="AC25" s="108"/>
    </row>
    <row r="26" spans="2:29" s="32" customFormat="1" ht="18" customHeight="1" x14ac:dyDescent="0.35">
      <c r="B26" s="129">
        <v>10</v>
      </c>
      <c r="C26" s="118" t="s">
        <v>58</v>
      </c>
      <c r="D26" s="145">
        <v>6439405</v>
      </c>
      <c r="E26" s="66"/>
      <c r="F26" s="65">
        <v>33248.589999999997</v>
      </c>
      <c r="G26" s="66"/>
      <c r="H26" s="66"/>
      <c r="I26" s="66"/>
      <c r="J26" s="66"/>
      <c r="K26" s="65">
        <v>0</v>
      </c>
      <c r="L26" s="65">
        <v>0</v>
      </c>
      <c r="M26" s="66"/>
      <c r="N26" s="66"/>
      <c r="O26" s="66"/>
      <c r="P26" s="66"/>
      <c r="Q26" s="66"/>
      <c r="R26" s="66"/>
      <c r="S26" s="66"/>
      <c r="T26" s="66"/>
      <c r="U26" s="35">
        <f t="shared" si="1"/>
        <v>0</v>
      </c>
      <c r="V26" s="74" t="s">
        <v>59</v>
      </c>
      <c r="W26" s="66"/>
      <c r="X26" s="38">
        <v>1668587</v>
      </c>
      <c r="Y26" s="66"/>
      <c r="Z26" s="65">
        <v>6439405</v>
      </c>
      <c r="AA26" s="39">
        <v>0</v>
      </c>
      <c r="AB26" s="40">
        <v>0</v>
      </c>
      <c r="AC26" s="41" t="s">
        <v>29</v>
      </c>
    </row>
    <row r="27" spans="2:29" s="106" customFormat="1" ht="18" customHeight="1" x14ac:dyDescent="0.25">
      <c r="B27" s="125"/>
      <c r="C27" s="104" t="s">
        <v>58</v>
      </c>
      <c r="D27" s="145"/>
      <c r="E27" s="94"/>
      <c r="F27" s="98" t="s">
        <v>60</v>
      </c>
      <c r="G27" s="94"/>
      <c r="H27" s="94"/>
      <c r="I27" s="94"/>
      <c r="J27" s="94"/>
      <c r="K27" s="130" t="s">
        <v>60</v>
      </c>
      <c r="L27" s="130"/>
      <c r="M27" s="94"/>
      <c r="N27" s="94"/>
      <c r="O27" s="94"/>
      <c r="P27" s="94"/>
      <c r="Q27" s="94"/>
      <c r="R27" s="94"/>
      <c r="S27" s="94"/>
      <c r="T27" s="94"/>
      <c r="U27" s="97"/>
      <c r="V27" s="98"/>
      <c r="W27" s="94"/>
      <c r="X27" s="98"/>
      <c r="Y27" s="94"/>
      <c r="Z27" s="99">
        <f t="shared" si="0"/>
        <v>0</v>
      </c>
      <c r="AA27" s="98"/>
      <c r="AB27" s="93"/>
      <c r="AC27" s="100"/>
    </row>
    <row r="28" spans="2:29" s="15" customFormat="1" ht="18" customHeight="1" x14ac:dyDescent="0.35">
      <c r="B28" s="125">
        <v>11</v>
      </c>
      <c r="C28" s="118" t="s">
        <v>61</v>
      </c>
      <c r="D28" s="145">
        <v>4067612</v>
      </c>
      <c r="E28" s="65">
        <v>0</v>
      </c>
      <c r="F28" s="68">
        <f>1741.55+2612.36+13517.59+13200.73</f>
        <v>31072.23</v>
      </c>
      <c r="G28" s="65">
        <v>74911.23</v>
      </c>
      <c r="H28" s="65">
        <f>120780-G28-F28</f>
        <v>14796.540000000005</v>
      </c>
      <c r="I28" s="65">
        <v>0</v>
      </c>
      <c r="J28" s="65">
        <v>0</v>
      </c>
      <c r="K28" s="65">
        <v>0</v>
      </c>
      <c r="L28" s="65">
        <v>0</v>
      </c>
      <c r="M28" s="68">
        <v>1386056.33</v>
      </c>
      <c r="N28" s="65">
        <v>0</v>
      </c>
      <c r="O28" s="65">
        <v>0</v>
      </c>
      <c r="P28" s="68">
        <v>3574697.17</v>
      </c>
      <c r="Q28" s="66"/>
      <c r="R28" s="66"/>
      <c r="S28" s="68"/>
      <c r="T28" s="68">
        <f>304500+776843.68+152854.13+394565.57+1204503.79+275430+466000-75161.6+75161.6</f>
        <v>3574697.17</v>
      </c>
      <c r="U28" s="35">
        <f t="shared" si="1"/>
        <v>3574697.17</v>
      </c>
      <c r="V28" s="37">
        <v>492914.83</v>
      </c>
      <c r="W28" s="66"/>
      <c r="X28" s="38">
        <v>1658591</v>
      </c>
      <c r="Y28" s="66"/>
      <c r="Z28" s="65">
        <f t="shared" si="0"/>
        <v>492914.83</v>
      </c>
      <c r="AA28" s="39">
        <f>U28+V28+W28</f>
        <v>4067612</v>
      </c>
      <c r="AB28" s="40">
        <f>D28-AA28</f>
        <v>0</v>
      </c>
      <c r="AC28" s="41" t="s">
        <v>29</v>
      </c>
    </row>
    <row r="29" spans="2:29" s="17" customFormat="1" ht="39" customHeight="1" x14ac:dyDescent="0.25">
      <c r="B29" s="125"/>
      <c r="C29" s="104" t="s">
        <v>61</v>
      </c>
      <c r="D29" s="145"/>
      <c r="E29" s="95" t="s">
        <v>62</v>
      </c>
      <c r="F29" s="95" t="s">
        <v>63</v>
      </c>
      <c r="G29" s="95" t="s">
        <v>64</v>
      </c>
      <c r="H29" s="95"/>
      <c r="I29" s="137" t="s">
        <v>65</v>
      </c>
      <c r="J29" s="137"/>
      <c r="K29" s="130" t="s">
        <v>66</v>
      </c>
      <c r="L29" s="130"/>
      <c r="M29" s="151" t="s">
        <v>64</v>
      </c>
      <c r="N29" s="152"/>
      <c r="O29" s="151" t="s">
        <v>67</v>
      </c>
      <c r="P29" s="152"/>
      <c r="Q29" s="96"/>
      <c r="R29" s="96"/>
      <c r="S29" s="96"/>
      <c r="T29" s="96" t="s">
        <v>67</v>
      </c>
      <c r="U29" s="102"/>
      <c r="V29" s="95"/>
      <c r="W29" s="96"/>
      <c r="X29" s="95"/>
      <c r="Y29" s="96"/>
      <c r="Z29" s="103">
        <f t="shared" si="0"/>
        <v>0</v>
      </c>
      <c r="AA29" s="95"/>
      <c r="AB29" s="16"/>
      <c r="AC29" s="100"/>
    </row>
    <row r="30" spans="2:29" s="15" customFormat="1" ht="18" customHeight="1" x14ac:dyDescent="0.35">
      <c r="B30" s="125">
        <v>12</v>
      </c>
      <c r="C30" s="118" t="s">
        <v>68</v>
      </c>
      <c r="D30" s="145">
        <v>3855480</v>
      </c>
      <c r="E30" s="65">
        <v>0</v>
      </c>
      <c r="F30" s="72">
        <v>1636.24</v>
      </c>
      <c r="G30" s="72">
        <v>3899.54</v>
      </c>
      <c r="H30" s="72"/>
      <c r="I30" s="65">
        <v>0</v>
      </c>
      <c r="J30" s="65">
        <v>0</v>
      </c>
      <c r="K30" s="65">
        <v>1917010.8</v>
      </c>
      <c r="L30" s="65">
        <v>0</v>
      </c>
      <c r="M30" s="65">
        <v>2438188.02</v>
      </c>
      <c r="N30" s="65">
        <v>0</v>
      </c>
      <c r="O30" s="65">
        <v>2540741.29</v>
      </c>
      <c r="P30" s="65">
        <v>2540741.29</v>
      </c>
      <c r="Q30" s="72"/>
      <c r="R30" s="72"/>
      <c r="S30" s="72"/>
      <c r="T30" s="65">
        <f>2298331.29+108480+133930</f>
        <v>2540741.29</v>
      </c>
      <c r="U30" s="35">
        <f t="shared" si="1"/>
        <v>2540741.29</v>
      </c>
      <c r="V30" s="76">
        <v>1314738.71</v>
      </c>
      <c r="W30" s="72"/>
      <c r="X30" s="38">
        <v>1668045</v>
      </c>
      <c r="Y30" s="72"/>
      <c r="Z30" s="65">
        <f t="shared" si="0"/>
        <v>1314738.71</v>
      </c>
      <c r="AA30" s="65">
        <f>U30+V30+W30</f>
        <v>3855480</v>
      </c>
      <c r="AB30" s="40">
        <f>D30-AA30</f>
        <v>0</v>
      </c>
      <c r="AC30" s="41" t="s">
        <v>29</v>
      </c>
    </row>
    <row r="31" spans="2:29" s="17" customFormat="1" ht="24" customHeight="1" x14ac:dyDescent="0.25">
      <c r="B31" s="125"/>
      <c r="C31" s="104" t="s">
        <v>68</v>
      </c>
      <c r="D31" s="145"/>
      <c r="E31" s="96" t="s">
        <v>69</v>
      </c>
      <c r="F31" s="95" t="s">
        <v>70</v>
      </c>
      <c r="G31" s="95" t="s">
        <v>70</v>
      </c>
      <c r="H31" s="96"/>
      <c r="I31" s="131" t="s">
        <v>69</v>
      </c>
      <c r="J31" s="132"/>
      <c r="K31" s="130" t="s">
        <v>70</v>
      </c>
      <c r="L31" s="130"/>
      <c r="M31" s="130" t="s">
        <v>71</v>
      </c>
      <c r="N31" s="130"/>
      <c r="O31" s="131" t="s">
        <v>72</v>
      </c>
      <c r="P31" s="132"/>
      <c r="Q31" s="96"/>
      <c r="R31" s="96"/>
      <c r="S31" s="96"/>
      <c r="T31" s="96" t="s">
        <v>73</v>
      </c>
      <c r="U31" s="102"/>
      <c r="V31" s="95"/>
      <c r="W31" s="96"/>
      <c r="X31" s="95"/>
      <c r="Y31" s="96"/>
      <c r="Z31" s="103">
        <f t="shared" si="0"/>
        <v>0</v>
      </c>
      <c r="AA31" s="95"/>
      <c r="AB31" s="16"/>
      <c r="AC31" s="100"/>
    </row>
    <row r="32" spans="2:29" s="15" customFormat="1" ht="18" customHeight="1" x14ac:dyDescent="0.35">
      <c r="B32" s="129">
        <v>13</v>
      </c>
      <c r="C32" s="118" t="s">
        <v>74</v>
      </c>
      <c r="D32" s="145">
        <v>3152174</v>
      </c>
      <c r="E32" s="66"/>
      <c r="F32" s="65">
        <v>4545.57</v>
      </c>
      <c r="G32" s="68">
        <f>9493.35-F32</f>
        <v>4947.7800000000007</v>
      </c>
      <c r="H32" s="69">
        <f>13390-G32-F32</f>
        <v>3896.6499999999996</v>
      </c>
      <c r="I32" s="66"/>
      <c r="J32" s="66"/>
      <c r="K32" s="65">
        <v>3152174</v>
      </c>
      <c r="L32" s="65">
        <v>0</v>
      </c>
      <c r="M32" s="65">
        <v>3152174</v>
      </c>
      <c r="N32" s="65">
        <v>97595.92</v>
      </c>
      <c r="O32" s="65">
        <f>1286089.86-97595.92</f>
        <v>1188493.9400000002</v>
      </c>
      <c r="P32" s="65">
        <f>1286089.86-97595.92</f>
        <v>1188493.9400000002</v>
      </c>
      <c r="Q32" s="66"/>
      <c r="R32" s="66"/>
      <c r="S32" s="68">
        <f>400+250+300+300+12689.36+40000+41256.56+2400</f>
        <v>97595.92</v>
      </c>
      <c r="T32" s="65">
        <f>802185.94-7900+30000+75000+100350+180958+7900</f>
        <v>1188493.94</v>
      </c>
      <c r="U32" s="35">
        <f t="shared" si="1"/>
        <v>1286089.8599999999</v>
      </c>
      <c r="V32" s="67">
        <v>1866084.45</v>
      </c>
      <c r="W32" s="66"/>
      <c r="X32" s="38">
        <v>1668067</v>
      </c>
      <c r="Y32" s="66"/>
      <c r="Z32" s="65">
        <f t="shared" si="0"/>
        <v>1866084.45</v>
      </c>
      <c r="AA32" s="39">
        <f>U32+V32+W32</f>
        <v>3152174.3099999996</v>
      </c>
      <c r="AB32" s="40">
        <f>D32-AA32</f>
        <v>-0.30999999959021807</v>
      </c>
      <c r="AC32" s="41" t="s">
        <v>29</v>
      </c>
    </row>
    <row r="33" spans="2:29" s="17" customFormat="1" ht="18.75" customHeight="1" x14ac:dyDescent="0.25">
      <c r="B33" s="125"/>
      <c r="C33" s="104" t="s">
        <v>74</v>
      </c>
      <c r="D33" s="145"/>
      <c r="E33" s="96"/>
      <c r="F33" s="101" t="s">
        <v>75</v>
      </c>
      <c r="G33" s="101" t="s">
        <v>76</v>
      </c>
      <c r="H33" s="96"/>
      <c r="I33" s="96"/>
      <c r="J33" s="96"/>
      <c r="K33" s="150" t="s">
        <v>75</v>
      </c>
      <c r="L33" s="150"/>
      <c r="M33" s="150" t="s">
        <v>77</v>
      </c>
      <c r="N33" s="150"/>
      <c r="O33" s="150" t="s">
        <v>78</v>
      </c>
      <c r="P33" s="150"/>
      <c r="Q33" s="96"/>
      <c r="R33" s="96"/>
      <c r="S33" s="109" t="s">
        <v>77</v>
      </c>
      <c r="T33" s="101" t="s">
        <v>78</v>
      </c>
      <c r="U33" s="102"/>
      <c r="V33" s="95"/>
      <c r="W33" s="96"/>
      <c r="X33" s="95"/>
      <c r="Y33" s="96"/>
      <c r="Z33" s="103">
        <f t="shared" si="0"/>
        <v>0</v>
      </c>
      <c r="AA33" s="95"/>
      <c r="AB33" s="16"/>
      <c r="AC33" s="100"/>
    </row>
    <row r="34" spans="2:29" s="15" customFormat="1" ht="18" customHeight="1" x14ac:dyDescent="0.35">
      <c r="B34" s="125">
        <v>14</v>
      </c>
      <c r="C34" s="118" t="s">
        <v>79</v>
      </c>
      <c r="D34" s="145">
        <v>5957021</v>
      </c>
      <c r="E34" s="65">
        <v>0</v>
      </c>
      <c r="F34" s="65">
        <v>45753.3</v>
      </c>
      <c r="G34" s="68">
        <v>126846.62</v>
      </c>
      <c r="H34" s="68">
        <v>162844.78</v>
      </c>
      <c r="I34" s="66"/>
      <c r="J34" s="65">
        <v>0</v>
      </c>
      <c r="K34" s="65">
        <v>3153488</v>
      </c>
      <c r="L34" s="65">
        <v>0</v>
      </c>
      <c r="M34" s="68">
        <v>1533869</v>
      </c>
      <c r="N34" s="68">
        <v>1642589.24</v>
      </c>
      <c r="O34" s="65">
        <v>0</v>
      </c>
      <c r="P34" s="68">
        <v>3974637.99</v>
      </c>
      <c r="Q34" s="66"/>
      <c r="R34" s="66"/>
      <c r="S34" s="65">
        <f>110176.8+99992+40201.77+77121.44+9493.44+39103.79+1266500</f>
        <v>1642589.24</v>
      </c>
      <c r="T34" s="65">
        <f>149982.01+39448.01+58578.84+77082+61904.56+135557.43+2025000+227317.9+1199767.24</f>
        <v>3974637.99</v>
      </c>
      <c r="U34" s="35">
        <f t="shared" si="1"/>
        <v>5617227.2300000004</v>
      </c>
      <c r="V34" s="37">
        <v>339793.31</v>
      </c>
      <c r="W34" s="66"/>
      <c r="X34" s="38">
        <v>1663686</v>
      </c>
      <c r="Y34" s="66"/>
      <c r="Z34" s="65">
        <f t="shared" si="0"/>
        <v>339793.31</v>
      </c>
      <c r="AA34" s="39">
        <f>U34+V34+W34</f>
        <v>5957020.54</v>
      </c>
      <c r="AB34" s="40">
        <f>D34-AA34</f>
        <v>0.4599999999627471</v>
      </c>
      <c r="AC34" s="41" t="s">
        <v>29</v>
      </c>
    </row>
    <row r="35" spans="2:29" s="17" customFormat="1" ht="18" customHeight="1" x14ac:dyDescent="0.25">
      <c r="B35" s="125"/>
      <c r="C35" s="104" t="s">
        <v>79</v>
      </c>
      <c r="D35" s="145"/>
      <c r="E35" s="22"/>
      <c r="F35" s="21" t="s">
        <v>80</v>
      </c>
      <c r="G35" s="21" t="s">
        <v>81</v>
      </c>
      <c r="H35" s="22" t="s">
        <v>82</v>
      </c>
      <c r="I35" s="22"/>
      <c r="J35" s="22"/>
      <c r="K35" s="141" t="s">
        <v>80</v>
      </c>
      <c r="L35" s="142"/>
      <c r="M35" s="143" t="s">
        <v>83</v>
      </c>
      <c r="N35" s="144"/>
      <c r="O35" s="143" t="s">
        <v>83</v>
      </c>
      <c r="P35" s="144"/>
      <c r="Q35" s="22"/>
      <c r="R35" s="22"/>
      <c r="S35" s="22" t="s">
        <v>81</v>
      </c>
      <c r="T35" s="22" t="s">
        <v>82</v>
      </c>
      <c r="U35" s="102"/>
      <c r="V35" s="21"/>
      <c r="W35" s="22"/>
      <c r="X35" s="21"/>
      <c r="Y35" s="22"/>
      <c r="Z35" s="103">
        <f t="shared" si="0"/>
        <v>0</v>
      </c>
      <c r="AA35" s="21"/>
      <c r="AB35" s="20"/>
      <c r="AC35" s="100"/>
    </row>
    <row r="36" spans="2:29" s="15" customFormat="1" ht="18" customHeight="1" x14ac:dyDescent="0.35">
      <c r="B36" s="125">
        <v>15</v>
      </c>
      <c r="C36" s="118" t="s">
        <v>84</v>
      </c>
      <c r="D36" s="145">
        <v>2606572</v>
      </c>
      <c r="E36" s="66"/>
      <c r="F36" s="75">
        <v>1581.48</v>
      </c>
      <c r="G36" s="75">
        <v>2701.71</v>
      </c>
      <c r="H36" s="66"/>
      <c r="I36" s="66"/>
      <c r="J36" s="66"/>
      <c r="K36" s="75">
        <v>487133</v>
      </c>
      <c r="L36" s="75">
        <v>10788</v>
      </c>
      <c r="M36" s="75">
        <v>673056.66</v>
      </c>
      <c r="N36" s="75">
        <v>1876439.67</v>
      </c>
      <c r="O36" s="66"/>
      <c r="P36" s="65">
        <f>291001.98+3115.56+30000</f>
        <v>324117.53999999998</v>
      </c>
      <c r="Q36" s="66"/>
      <c r="R36" s="75">
        <v>10788</v>
      </c>
      <c r="S36" s="75">
        <f>21078.01+142592.22+79493.29+147204+24500.07+3851.2+7250+2320+16124+38998.9+9280+6403.2+8688.4+24128+7888+7888+15486+16356+16356+6786+17226+50390.4+27515.2+80000+360+40200+30000+20000+19800+18000+14000+18000+20000+27000+27000+15000+10800+37683+34997.2+30000+69996.2+49998+48333.5+48333.5+48333.5+75000+49998.6+129860+132086.88+69600+14256.4</f>
        <v>1876439.67</v>
      </c>
      <c r="T36" s="68">
        <f>2760.1+16795.18+36140.57+36140.57+36140.57+130000+33024.99+3115.56+30000</f>
        <v>324117.53999999998</v>
      </c>
      <c r="U36" s="35">
        <f t="shared" si="1"/>
        <v>2211345.21</v>
      </c>
      <c r="V36" s="76">
        <v>395226.8</v>
      </c>
      <c r="W36" s="66"/>
      <c r="X36" s="38">
        <v>1668993</v>
      </c>
      <c r="Y36" s="66"/>
      <c r="Z36" s="35">
        <f t="shared" si="0"/>
        <v>395226.8</v>
      </c>
      <c r="AA36" s="39">
        <f>U36+V36+W36</f>
        <v>2606572.0099999998</v>
      </c>
      <c r="AB36" s="40">
        <f>D36-AA36</f>
        <v>-9.9999997764825821E-3</v>
      </c>
      <c r="AC36" s="41" t="s">
        <v>29</v>
      </c>
    </row>
    <row r="37" spans="2:29" s="17" customFormat="1" ht="18" customHeight="1" x14ac:dyDescent="0.25">
      <c r="B37" s="125"/>
      <c r="C37" s="104" t="s">
        <v>84</v>
      </c>
      <c r="D37" s="145"/>
      <c r="E37" s="22"/>
      <c r="F37" s="21" t="s">
        <v>85</v>
      </c>
      <c r="G37" s="21" t="s">
        <v>86</v>
      </c>
      <c r="H37" s="22"/>
      <c r="I37" s="22"/>
      <c r="J37" s="22"/>
      <c r="K37" s="149" t="s">
        <v>85</v>
      </c>
      <c r="L37" s="149"/>
      <c r="M37" s="138" t="s">
        <v>86</v>
      </c>
      <c r="N37" s="138"/>
      <c r="O37" s="22"/>
      <c r="P37" s="22"/>
      <c r="Q37" s="22"/>
      <c r="R37" s="22" t="s">
        <v>43</v>
      </c>
      <c r="S37" s="22" t="s">
        <v>43</v>
      </c>
      <c r="T37" s="22" t="s">
        <v>43</v>
      </c>
      <c r="U37" s="102"/>
      <c r="V37" s="21"/>
      <c r="W37" s="22"/>
      <c r="X37" s="21"/>
      <c r="Y37" s="22"/>
      <c r="Z37" s="103">
        <f t="shared" si="0"/>
        <v>0</v>
      </c>
      <c r="AA37" s="21"/>
      <c r="AB37" s="20"/>
      <c r="AC37" s="100"/>
    </row>
    <row r="38" spans="2:29" s="15" customFormat="1" ht="18" customHeight="1" x14ac:dyDescent="0.35">
      <c r="B38" s="146">
        <v>16</v>
      </c>
      <c r="C38" s="73" t="s">
        <v>87</v>
      </c>
      <c r="D38" s="134">
        <v>5133668</v>
      </c>
      <c r="E38" s="55"/>
      <c r="F38" s="77">
        <v>406.57</v>
      </c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7">
        <v>1851549.36</v>
      </c>
      <c r="T38" s="55"/>
      <c r="U38" s="45">
        <f t="shared" si="1"/>
        <v>1851549.36</v>
      </c>
      <c r="V38" s="78">
        <v>117812.03</v>
      </c>
      <c r="W38" s="55"/>
      <c r="X38" s="59">
        <v>1663709</v>
      </c>
      <c r="Y38" s="55"/>
      <c r="Z38" s="47">
        <f t="shared" si="0"/>
        <v>117812.03</v>
      </c>
      <c r="AA38" s="60">
        <f>U38+V38+W38</f>
        <v>1969361.3900000001</v>
      </c>
      <c r="AB38" s="61">
        <f>D38-AA38</f>
        <v>3164306.61</v>
      </c>
      <c r="AC38" s="62"/>
    </row>
    <row r="39" spans="2:29" s="17" customFormat="1" ht="27.75" customHeight="1" x14ac:dyDescent="0.25">
      <c r="B39" s="125"/>
      <c r="C39" s="104" t="s">
        <v>87</v>
      </c>
      <c r="D39" s="134"/>
      <c r="E39" s="22"/>
      <c r="F39" s="21" t="s">
        <v>88</v>
      </c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 t="s">
        <v>43</v>
      </c>
      <c r="T39" s="22"/>
      <c r="U39" s="102"/>
      <c r="V39" s="21"/>
      <c r="W39" s="22"/>
      <c r="X39" s="21"/>
      <c r="Y39" s="22"/>
      <c r="Z39" s="103">
        <f t="shared" si="0"/>
        <v>0</v>
      </c>
      <c r="AA39" s="21"/>
      <c r="AB39" s="20"/>
      <c r="AC39" s="100"/>
    </row>
    <row r="40" spans="2:29" s="15" customFormat="1" ht="18" customHeight="1" x14ac:dyDescent="0.25">
      <c r="B40" s="125">
        <v>17</v>
      </c>
      <c r="C40" s="118" t="s">
        <v>89</v>
      </c>
      <c r="D40" s="147">
        <v>2230113</v>
      </c>
      <c r="E40" s="65">
        <v>104.07</v>
      </c>
      <c r="F40" s="65">
        <v>1805.91</v>
      </c>
      <c r="G40" s="65">
        <v>3427.32</v>
      </c>
      <c r="H40" s="66"/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8">
        <v>159344.79999999999</v>
      </c>
      <c r="O40" s="66"/>
      <c r="P40" s="65">
        <v>1421949.67</v>
      </c>
      <c r="Q40" s="66"/>
      <c r="R40" s="66"/>
      <c r="S40" s="79">
        <f>2799.94+3599.99+11999.04+4999.6+25999.78+59999.03+14999.73+5999.52+11999.04+7999.13+8950</f>
        <v>159344.80000000002</v>
      </c>
      <c r="T40" s="68">
        <f>39999.12+75000+75000+18000+139999.99+715290.56-5700-2100-525+75000+198128+5916+14616+65000+8325</f>
        <v>1421949.67</v>
      </c>
      <c r="U40" s="35">
        <f t="shared" si="1"/>
        <v>1581294.47</v>
      </c>
      <c r="V40" s="76">
        <v>648818.53</v>
      </c>
      <c r="W40" s="66"/>
      <c r="X40" s="72"/>
      <c r="Y40" s="66"/>
      <c r="Z40" s="35">
        <f t="shared" si="0"/>
        <v>648818.53</v>
      </c>
      <c r="AA40" s="39">
        <f>U40+V40+W40</f>
        <v>2230113</v>
      </c>
      <c r="AB40" s="40">
        <f>D40-AA40</f>
        <v>0</v>
      </c>
      <c r="AC40" s="41" t="s">
        <v>29</v>
      </c>
    </row>
    <row r="41" spans="2:29" s="17" customFormat="1" ht="63.75" x14ac:dyDescent="0.25">
      <c r="B41" s="125"/>
      <c r="C41" s="104" t="s">
        <v>89</v>
      </c>
      <c r="D41" s="147"/>
      <c r="E41" s="21" t="s">
        <v>90</v>
      </c>
      <c r="F41" s="21" t="s">
        <v>90</v>
      </c>
      <c r="G41" s="21" t="s">
        <v>91</v>
      </c>
      <c r="H41" s="22"/>
      <c r="I41" s="141" t="s">
        <v>90</v>
      </c>
      <c r="J41" s="148"/>
      <c r="K41" s="148"/>
      <c r="L41" s="142"/>
      <c r="M41" s="141" t="s">
        <v>91</v>
      </c>
      <c r="N41" s="142"/>
      <c r="O41" s="22"/>
      <c r="P41" s="22" t="s">
        <v>92</v>
      </c>
      <c r="Q41" s="22"/>
      <c r="R41" s="22"/>
      <c r="S41" s="22" t="s">
        <v>93</v>
      </c>
      <c r="T41" s="22" t="s">
        <v>94</v>
      </c>
      <c r="U41" s="102"/>
      <c r="V41" s="21"/>
      <c r="W41" s="22"/>
      <c r="X41" s="21"/>
      <c r="Y41" s="22"/>
      <c r="Z41" s="103">
        <f t="shared" si="0"/>
        <v>0</v>
      </c>
      <c r="AA41" s="21"/>
      <c r="AB41" s="20"/>
      <c r="AC41" s="100"/>
    </row>
    <row r="42" spans="2:29" s="15" customFormat="1" ht="18" customHeight="1" x14ac:dyDescent="0.35">
      <c r="B42" s="125">
        <v>18</v>
      </c>
      <c r="C42" s="118" t="s">
        <v>95</v>
      </c>
      <c r="D42" s="145">
        <v>6360687</v>
      </c>
      <c r="E42" s="80">
        <v>0</v>
      </c>
      <c r="F42" s="68">
        <v>20384.63</v>
      </c>
      <c r="G42" s="68">
        <v>42542.7</v>
      </c>
      <c r="H42" s="68"/>
      <c r="I42" s="66"/>
      <c r="J42" s="65">
        <v>0</v>
      </c>
      <c r="K42" s="66"/>
      <c r="L42" s="65">
        <v>0</v>
      </c>
      <c r="M42" s="68">
        <v>3268217.58</v>
      </c>
      <c r="N42" s="65">
        <v>0</v>
      </c>
      <c r="O42" s="66"/>
      <c r="P42" s="66"/>
      <c r="Q42" s="66"/>
      <c r="R42" s="66"/>
      <c r="S42" s="66"/>
      <c r="T42" s="65">
        <f>177818.72+66096.8+87000+42145.45+54375+325999.99+669152.96+1174951.12+5086.37+232000+587640.81+212976+447180+947580+99998.96+13774+3924+203157.76+63512.32</f>
        <v>5414370.2600000007</v>
      </c>
      <c r="U42" s="35">
        <f t="shared" si="1"/>
        <v>5414370.2600000007</v>
      </c>
      <c r="V42" s="37">
        <v>930873.17</v>
      </c>
      <c r="W42" s="37">
        <v>15443.57</v>
      </c>
      <c r="X42" s="38">
        <v>1663703</v>
      </c>
      <c r="Y42" s="38">
        <v>1666137</v>
      </c>
      <c r="Z42" s="35">
        <f t="shared" si="0"/>
        <v>946316.74</v>
      </c>
      <c r="AA42" s="35">
        <f>U42+V42+W42</f>
        <v>6360687.0000000009</v>
      </c>
      <c r="AB42" s="40">
        <f>D42-AA42</f>
        <v>0</v>
      </c>
      <c r="AC42" s="41" t="s">
        <v>29</v>
      </c>
    </row>
    <row r="43" spans="2:29" s="17" customFormat="1" ht="22.5" customHeight="1" x14ac:dyDescent="0.25">
      <c r="B43" s="125"/>
      <c r="C43" s="104" t="s">
        <v>95</v>
      </c>
      <c r="D43" s="145"/>
      <c r="E43" s="22" t="s">
        <v>96</v>
      </c>
      <c r="F43" s="22" t="s">
        <v>96</v>
      </c>
      <c r="G43" s="22" t="s">
        <v>96</v>
      </c>
      <c r="H43" s="22"/>
      <c r="I43" s="143" t="s">
        <v>96</v>
      </c>
      <c r="J43" s="144"/>
      <c r="K43" s="143" t="s">
        <v>96</v>
      </c>
      <c r="L43" s="144"/>
      <c r="M43" s="143" t="s">
        <v>96</v>
      </c>
      <c r="N43" s="144"/>
      <c r="O43" s="22"/>
      <c r="P43" s="22"/>
      <c r="Q43" s="22"/>
      <c r="R43" s="22"/>
      <c r="S43" s="22"/>
      <c r="T43" s="22"/>
      <c r="U43" s="102"/>
      <c r="V43" s="22"/>
      <c r="W43" s="22"/>
      <c r="X43" s="22"/>
      <c r="Y43" s="22"/>
      <c r="Z43" s="103">
        <f t="shared" si="0"/>
        <v>0</v>
      </c>
      <c r="AA43" s="21"/>
      <c r="AB43" s="20"/>
      <c r="AC43" s="100"/>
    </row>
    <row r="44" spans="2:29" s="15" customFormat="1" ht="18" customHeight="1" x14ac:dyDescent="0.25">
      <c r="B44" s="146">
        <v>19</v>
      </c>
      <c r="C44" s="73" t="s">
        <v>97</v>
      </c>
      <c r="D44" s="134">
        <v>2990640</v>
      </c>
      <c r="E44" s="71">
        <f>328.09+94.14</f>
        <v>422.22999999999996</v>
      </c>
      <c r="F44" s="56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7">
        <v>294964.8</v>
      </c>
      <c r="T44" s="57">
        <v>859170.24</v>
      </c>
      <c r="U44" s="45">
        <f t="shared" si="1"/>
        <v>1154135.04</v>
      </c>
      <c r="V44" s="56"/>
      <c r="W44" s="55"/>
      <c r="X44" s="56"/>
      <c r="Y44" s="55"/>
      <c r="Z44" s="45">
        <f t="shared" si="0"/>
        <v>0</v>
      </c>
      <c r="AA44" s="60">
        <f>U44+V44+W44</f>
        <v>1154135.04</v>
      </c>
      <c r="AB44" s="61">
        <f>D44-AA44</f>
        <v>1836504.96</v>
      </c>
      <c r="AC44" s="62"/>
    </row>
    <row r="45" spans="2:29" s="17" customFormat="1" ht="18" customHeight="1" x14ac:dyDescent="0.25">
      <c r="B45" s="125"/>
      <c r="C45" s="104" t="s">
        <v>97</v>
      </c>
      <c r="D45" s="134"/>
      <c r="E45" s="21" t="s">
        <v>98</v>
      </c>
      <c r="F45" s="21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 t="s">
        <v>43</v>
      </c>
      <c r="T45" s="22" t="s">
        <v>43</v>
      </c>
      <c r="U45" s="102"/>
      <c r="V45" s="21"/>
      <c r="W45" s="22"/>
      <c r="X45" s="21"/>
      <c r="Y45" s="22"/>
      <c r="Z45" s="103">
        <f t="shared" si="0"/>
        <v>0</v>
      </c>
      <c r="AA45" s="21"/>
      <c r="AB45" s="20"/>
      <c r="AC45" s="100"/>
    </row>
    <row r="46" spans="2:29" s="15" customFormat="1" ht="18" customHeight="1" x14ac:dyDescent="0.35">
      <c r="B46" s="133">
        <v>20</v>
      </c>
      <c r="C46" s="118" t="s">
        <v>99</v>
      </c>
      <c r="D46" s="145">
        <v>4142081</v>
      </c>
      <c r="E46" s="65">
        <f>885.95</f>
        <v>885.95</v>
      </c>
      <c r="F46" s="72">
        <v>7849.71</v>
      </c>
      <c r="G46" s="65">
        <f>18705.75-E46-F46</f>
        <v>9970.09</v>
      </c>
      <c r="H46" s="65">
        <f>30801.99-G46-F46-E46</f>
        <v>12096.240000000002</v>
      </c>
      <c r="I46" s="72"/>
      <c r="J46" s="72"/>
      <c r="K46" s="65">
        <v>0</v>
      </c>
      <c r="L46" s="65">
        <v>0</v>
      </c>
      <c r="M46" s="65">
        <v>162000</v>
      </c>
      <c r="N46" s="65">
        <v>0</v>
      </c>
      <c r="O46" s="65">
        <v>3805815.97</v>
      </c>
      <c r="P46" s="65">
        <f>3805815.97-533800</f>
        <v>3272015.97</v>
      </c>
      <c r="Q46" s="72"/>
      <c r="R46" s="72"/>
      <c r="S46" s="72"/>
      <c r="T46" s="65">
        <f>111248.52+505800+169425+63606.05+12240+149802.4+90000+269598+120000+1780296+533800-533800</f>
        <v>3272015.97</v>
      </c>
      <c r="U46" s="35">
        <f t="shared" si="1"/>
        <v>3272015.97</v>
      </c>
      <c r="V46" s="76">
        <v>336265.03</v>
      </c>
      <c r="W46" s="76">
        <v>533800</v>
      </c>
      <c r="X46" s="38">
        <v>1668053</v>
      </c>
      <c r="Y46" s="72"/>
      <c r="Z46" s="35">
        <f t="shared" si="0"/>
        <v>870065.03</v>
      </c>
      <c r="AA46" s="65">
        <f>U46+V46+W46</f>
        <v>4142081</v>
      </c>
      <c r="AB46" s="81">
        <f>D46-AA46</f>
        <v>0</v>
      </c>
      <c r="AC46" s="41" t="s">
        <v>29</v>
      </c>
    </row>
    <row r="47" spans="2:29" s="17" customFormat="1" ht="18" customHeight="1" x14ac:dyDescent="0.25">
      <c r="B47" s="133"/>
      <c r="C47" s="107" t="s">
        <v>99</v>
      </c>
      <c r="D47" s="145"/>
      <c r="E47" s="21" t="s">
        <v>100</v>
      </c>
      <c r="F47" s="21" t="s">
        <v>101</v>
      </c>
      <c r="G47" s="22" t="s">
        <v>102</v>
      </c>
      <c r="H47" s="22" t="s">
        <v>103</v>
      </c>
      <c r="I47" s="22"/>
      <c r="J47" s="22"/>
      <c r="K47" s="141" t="s">
        <v>101</v>
      </c>
      <c r="L47" s="142"/>
      <c r="M47" s="143" t="s">
        <v>102</v>
      </c>
      <c r="N47" s="144"/>
      <c r="O47" s="143" t="s">
        <v>104</v>
      </c>
      <c r="P47" s="144"/>
      <c r="Q47" s="22"/>
      <c r="R47" s="22"/>
      <c r="S47" s="22"/>
      <c r="T47" s="22" t="s">
        <v>104</v>
      </c>
      <c r="U47" s="102"/>
      <c r="V47" s="21"/>
      <c r="W47" s="22"/>
      <c r="X47" s="21"/>
      <c r="Y47" s="22"/>
      <c r="Z47" s="103">
        <f t="shared" si="0"/>
        <v>0</v>
      </c>
      <c r="AA47" s="21"/>
      <c r="AB47" s="20"/>
      <c r="AC47" s="108"/>
    </row>
    <row r="48" spans="2:29" s="15" customFormat="1" ht="18" customHeight="1" x14ac:dyDescent="0.35">
      <c r="B48" s="125">
        <v>21</v>
      </c>
      <c r="C48" s="118" t="s">
        <v>105</v>
      </c>
      <c r="D48" s="145">
        <v>2660286</v>
      </c>
      <c r="E48" s="66"/>
      <c r="F48" s="65">
        <v>3139.13</v>
      </c>
      <c r="G48" s="68">
        <v>6293.2</v>
      </c>
      <c r="H48" s="68">
        <v>9397.09</v>
      </c>
      <c r="I48" s="66"/>
      <c r="J48" s="66"/>
      <c r="K48" s="65">
        <v>0</v>
      </c>
      <c r="L48" s="65">
        <v>0</v>
      </c>
      <c r="M48" s="65">
        <v>0</v>
      </c>
      <c r="N48" s="65">
        <v>0</v>
      </c>
      <c r="O48" s="65">
        <v>2434617.35</v>
      </c>
      <c r="P48" s="65">
        <v>2434617.35</v>
      </c>
      <c r="Q48" s="66"/>
      <c r="R48" s="65">
        <v>0</v>
      </c>
      <c r="S48" s="65">
        <v>0</v>
      </c>
      <c r="T48" s="65">
        <f>99950.01+99679.99+135000+249630.28+180000+96000+96000+24093.2+24093.2+15030.12+18560+18560+297849.24+30000+30000+45000+60000+45000+30000+30000+18272.32+63800+1289.39+306745.36+420036</f>
        <v>2434589.11</v>
      </c>
      <c r="U48" s="35">
        <f t="shared" si="1"/>
        <v>2434589.11</v>
      </c>
      <c r="V48" s="37">
        <v>225668.65</v>
      </c>
      <c r="W48" s="66"/>
      <c r="X48" s="38">
        <v>1663696</v>
      </c>
      <c r="Y48" s="66"/>
      <c r="Z48" s="35">
        <f t="shared" si="0"/>
        <v>225668.65</v>
      </c>
      <c r="AA48" s="39">
        <f>U48+V48+W48</f>
        <v>2660257.7599999998</v>
      </c>
      <c r="AB48" s="40">
        <f>D48-AA48</f>
        <v>28.240000000223517</v>
      </c>
      <c r="AC48" s="41" t="s">
        <v>29</v>
      </c>
    </row>
    <row r="49" spans="2:29" s="17" customFormat="1" ht="18" customHeight="1" x14ac:dyDescent="0.25">
      <c r="B49" s="125"/>
      <c r="C49" s="104" t="s">
        <v>105</v>
      </c>
      <c r="D49" s="145"/>
      <c r="E49" s="22"/>
      <c r="F49" s="21" t="s">
        <v>106</v>
      </c>
      <c r="G49" s="22" t="s">
        <v>107</v>
      </c>
      <c r="H49" s="22" t="s">
        <v>108</v>
      </c>
      <c r="I49" s="22"/>
      <c r="J49" s="22"/>
      <c r="K49" s="141" t="s">
        <v>106</v>
      </c>
      <c r="L49" s="142"/>
      <c r="M49" s="143" t="s">
        <v>107</v>
      </c>
      <c r="N49" s="144"/>
      <c r="O49" s="143" t="s">
        <v>108</v>
      </c>
      <c r="P49" s="144"/>
      <c r="Q49" s="22"/>
      <c r="R49" s="22"/>
      <c r="S49" s="22" t="s">
        <v>109</v>
      </c>
      <c r="T49" s="22" t="s">
        <v>110</v>
      </c>
      <c r="U49" s="102"/>
      <c r="V49" s="21"/>
      <c r="W49" s="22"/>
      <c r="X49" s="21"/>
      <c r="Y49" s="22"/>
      <c r="Z49" s="103">
        <f t="shared" si="0"/>
        <v>0</v>
      </c>
      <c r="AA49" s="21"/>
      <c r="AB49" s="20"/>
      <c r="AC49" s="100"/>
    </row>
    <row r="50" spans="2:29" s="15" customFormat="1" ht="18" customHeight="1" x14ac:dyDescent="0.35">
      <c r="B50" s="129">
        <v>22</v>
      </c>
      <c r="C50" s="118" t="s">
        <v>111</v>
      </c>
      <c r="D50" s="139">
        <v>3598505</v>
      </c>
      <c r="E50" s="66"/>
      <c r="F50" s="65">
        <v>277.12</v>
      </c>
      <c r="G50" s="65">
        <v>1050.73</v>
      </c>
      <c r="H50" s="65">
        <v>1417</v>
      </c>
      <c r="I50" s="66"/>
      <c r="J50" s="66"/>
      <c r="K50" s="65">
        <v>625549.36</v>
      </c>
      <c r="L50" s="65">
        <v>92807.38</v>
      </c>
      <c r="M50" s="65">
        <v>919389.64</v>
      </c>
      <c r="N50" s="65">
        <f>758543.68+5100+2878.18</f>
        <v>766521.8600000001</v>
      </c>
      <c r="O50" s="65">
        <v>0</v>
      </c>
      <c r="P50" s="65">
        <v>2428099.2799999998</v>
      </c>
      <c r="Q50" s="66"/>
      <c r="R50" s="68">
        <f>92807.38</f>
        <v>92807.38</v>
      </c>
      <c r="S50" s="82">
        <f>758543.68+7978.18</f>
        <v>766521.8600000001</v>
      </c>
      <c r="T50" s="65">
        <f>2416715.18+11384.1</f>
        <v>2428099.2800000003</v>
      </c>
      <c r="U50" s="35">
        <f t="shared" si="1"/>
        <v>3287428.5200000005</v>
      </c>
      <c r="V50" s="37">
        <v>311076.52</v>
      </c>
      <c r="W50" s="66"/>
      <c r="X50" s="38">
        <v>1663548</v>
      </c>
      <c r="Y50" s="66"/>
      <c r="Z50" s="65">
        <f t="shared" si="0"/>
        <v>311076.52</v>
      </c>
      <c r="AA50" s="39">
        <f>U50+V50+W50</f>
        <v>3598505.0400000005</v>
      </c>
      <c r="AB50" s="40">
        <f>D50-AA50</f>
        <v>-4.000000050291419E-2</v>
      </c>
      <c r="AC50" s="41" t="s">
        <v>29</v>
      </c>
    </row>
    <row r="51" spans="2:29" s="17" customFormat="1" ht="18" customHeight="1" x14ac:dyDescent="0.25">
      <c r="B51" s="125"/>
      <c r="C51" s="104" t="s">
        <v>111</v>
      </c>
      <c r="D51" s="140"/>
      <c r="E51" s="22"/>
      <c r="F51" s="21" t="s">
        <v>112</v>
      </c>
      <c r="G51" s="21" t="s">
        <v>113</v>
      </c>
      <c r="H51" s="22" t="s">
        <v>114</v>
      </c>
      <c r="I51" s="22"/>
      <c r="J51" s="22"/>
      <c r="K51" s="141" t="s">
        <v>112</v>
      </c>
      <c r="L51" s="142"/>
      <c r="M51" s="141" t="s">
        <v>115</v>
      </c>
      <c r="N51" s="142"/>
      <c r="O51" s="143" t="s">
        <v>114</v>
      </c>
      <c r="P51" s="144"/>
      <c r="Q51" s="22"/>
      <c r="R51" s="22" t="s">
        <v>112</v>
      </c>
      <c r="S51" s="110" t="s">
        <v>115</v>
      </c>
      <c r="T51" s="22" t="s">
        <v>114</v>
      </c>
      <c r="U51" s="102"/>
      <c r="V51" s="22"/>
      <c r="W51" s="22"/>
      <c r="X51" s="21"/>
      <c r="Y51" s="22"/>
      <c r="Z51" s="103">
        <f t="shared" si="0"/>
        <v>0</v>
      </c>
      <c r="AA51" s="21"/>
      <c r="AB51" s="20"/>
      <c r="AC51" s="100"/>
    </row>
    <row r="52" spans="2:29" s="15" customFormat="1" ht="18" customHeight="1" x14ac:dyDescent="0.35">
      <c r="B52" s="125">
        <v>23</v>
      </c>
      <c r="C52" s="118" t="s">
        <v>116</v>
      </c>
      <c r="D52" s="145">
        <v>3434177</v>
      </c>
      <c r="E52" s="83">
        <v>0</v>
      </c>
      <c r="F52" s="65">
        <v>2592.91</v>
      </c>
      <c r="G52" s="68">
        <f>4759.07-F52</f>
        <v>2166.16</v>
      </c>
      <c r="H52" s="68">
        <f>6021-F52-G52</f>
        <v>1261.9300000000003</v>
      </c>
      <c r="I52" s="66"/>
      <c r="J52" s="65">
        <v>0</v>
      </c>
      <c r="K52" s="65"/>
      <c r="L52" s="65">
        <f>92159.74+102608+3542+5808</f>
        <v>204117.74</v>
      </c>
      <c r="M52" s="66"/>
      <c r="N52" s="68">
        <f>529290.83+403581.35</f>
        <v>932872.17999999993</v>
      </c>
      <c r="O52" s="66"/>
      <c r="P52" s="65">
        <f>1757661.52</f>
        <v>1757661.52</v>
      </c>
      <c r="Q52" s="66"/>
      <c r="R52" s="68">
        <f>92159.74+102608+5808+3542</f>
        <v>204117.74</v>
      </c>
      <c r="S52" s="65">
        <f>92159.74+102608+288359.61+97383.87+303117.48+21753.48+27490</f>
        <v>932872.17999999993</v>
      </c>
      <c r="T52" s="65">
        <f>1757661.52-45935.8-61220+45935.8+61220</f>
        <v>1757661.52</v>
      </c>
      <c r="U52" s="35">
        <f t="shared" si="1"/>
        <v>2894651.44</v>
      </c>
      <c r="V52" s="67">
        <v>539525.46</v>
      </c>
      <c r="W52" s="66"/>
      <c r="X52" s="38">
        <v>1671624</v>
      </c>
      <c r="Y52" s="66"/>
      <c r="Z52" s="65">
        <f t="shared" si="0"/>
        <v>539525.46</v>
      </c>
      <c r="AA52" s="39">
        <f>U52+V52+W52</f>
        <v>3434176.9</v>
      </c>
      <c r="AB52" s="40">
        <f>D52-AA52</f>
        <v>0.10000000009313226</v>
      </c>
      <c r="AC52" s="41" t="s">
        <v>29</v>
      </c>
    </row>
    <row r="53" spans="2:29" s="17" customFormat="1" ht="23.25" customHeight="1" x14ac:dyDescent="0.25">
      <c r="B53" s="125"/>
      <c r="C53" s="104" t="s">
        <v>116</v>
      </c>
      <c r="D53" s="145"/>
      <c r="E53" s="111" t="s">
        <v>117</v>
      </c>
      <c r="F53" s="112" t="s">
        <v>118</v>
      </c>
      <c r="G53" s="111" t="s">
        <v>119</v>
      </c>
      <c r="H53" s="111" t="s">
        <v>120</v>
      </c>
      <c r="I53" s="22"/>
      <c r="J53" s="111">
        <v>10117</v>
      </c>
      <c r="K53" s="112"/>
      <c r="L53" s="112" t="s">
        <v>118</v>
      </c>
      <c r="M53" s="22"/>
      <c r="N53" s="111" t="s">
        <v>121</v>
      </c>
      <c r="O53" s="22"/>
      <c r="P53" s="22" t="s">
        <v>120</v>
      </c>
      <c r="Q53" s="22"/>
      <c r="R53" s="111" t="s">
        <v>118</v>
      </c>
      <c r="S53" s="111" t="s">
        <v>121</v>
      </c>
      <c r="T53" s="22" t="s">
        <v>120</v>
      </c>
      <c r="U53" s="102"/>
      <c r="V53" s="21"/>
      <c r="W53" s="22"/>
      <c r="X53" s="21"/>
      <c r="Y53" s="22"/>
      <c r="Z53" s="103">
        <f t="shared" si="0"/>
        <v>0</v>
      </c>
      <c r="AA53" s="21"/>
      <c r="AB53" s="20"/>
      <c r="AC53" s="100"/>
    </row>
    <row r="54" spans="2:29" s="121" customFormat="1" ht="24.75" customHeight="1" x14ac:dyDescent="0.35">
      <c r="B54" s="125">
        <v>24</v>
      </c>
      <c r="C54" s="63" t="s">
        <v>122</v>
      </c>
      <c r="D54" s="134">
        <v>4147444</v>
      </c>
      <c r="E54" s="84">
        <v>0</v>
      </c>
      <c r="F54" s="57">
        <v>5995.78</v>
      </c>
      <c r="G54" s="64">
        <f>13670.44-F54</f>
        <v>7674.6600000000008</v>
      </c>
      <c r="H54" s="55"/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71">
        <f>1524052.72+33024.99</f>
        <v>1557077.71</v>
      </c>
      <c r="O54" s="55"/>
      <c r="P54" s="55"/>
      <c r="Q54" s="84">
        <v>0</v>
      </c>
      <c r="R54" s="84">
        <v>0</v>
      </c>
      <c r="S54" s="85">
        <f>749300+27430.64+26643.99+45095+74653.83+67354.62+51000+36586.51+50545.07+249400+24940+47714.28+35627.78+31958+5803</f>
        <v>1524052.72</v>
      </c>
      <c r="T54" s="57">
        <f>720000+276490+389200</f>
        <v>1385690</v>
      </c>
      <c r="U54" s="45">
        <f t="shared" si="1"/>
        <v>2909742.7199999997</v>
      </c>
      <c r="V54" s="51">
        <v>451202.26</v>
      </c>
      <c r="W54" s="55"/>
      <c r="X54" s="52">
        <v>1668034</v>
      </c>
      <c r="Y54" s="55"/>
      <c r="Z54" s="47">
        <f t="shared" si="0"/>
        <v>451202.26</v>
      </c>
      <c r="AA54" s="53">
        <f>U54+V54+W54</f>
        <v>3360944.9799999995</v>
      </c>
      <c r="AB54" s="54">
        <f>D54-AA54</f>
        <v>786499.02000000048</v>
      </c>
      <c r="AC54" s="48"/>
    </row>
    <row r="55" spans="2:29" s="17" customFormat="1" ht="18" customHeight="1" x14ac:dyDescent="0.25">
      <c r="B55" s="125"/>
      <c r="C55" s="104" t="s">
        <v>122</v>
      </c>
      <c r="D55" s="134"/>
      <c r="E55" s="22" t="s">
        <v>123</v>
      </c>
      <c r="F55" s="22" t="s">
        <v>123</v>
      </c>
      <c r="G55" s="22" t="s">
        <v>123</v>
      </c>
      <c r="H55" s="22"/>
      <c r="I55" s="138" t="s">
        <v>123</v>
      </c>
      <c r="J55" s="138"/>
      <c r="K55" s="138" t="s">
        <v>123</v>
      </c>
      <c r="L55" s="138"/>
      <c r="M55" s="138" t="s">
        <v>123</v>
      </c>
      <c r="N55" s="138"/>
      <c r="O55" s="22"/>
      <c r="P55" s="22"/>
      <c r="Q55" s="22"/>
      <c r="R55" s="22"/>
      <c r="S55" s="22" t="s">
        <v>123</v>
      </c>
      <c r="T55" s="22" t="s">
        <v>43</v>
      </c>
      <c r="U55" s="102"/>
      <c r="V55" s="21"/>
      <c r="W55" s="22"/>
      <c r="X55" s="21"/>
      <c r="Y55" s="22"/>
      <c r="Z55" s="103">
        <f t="shared" si="0"/>
        <v>0</v>
      </c>
      <c r="AA55" s="21"/>
      <c r="AB55" s="20"/>
      <c r="AC55" s="100"/>
    </row>
    <row r="56" spans="2:29" s="122" customFormat="1" ht="18" customHeight="1" x14ac:dyDescent="0.35">
      <c r="B56" s="129">
        <v>25</v>
      </c>
      <c r="C56" s="73" t="s">
        <v>124</v>
      </c>
      <c r="D56" s="134">
        <v>4278264</v>
      </c>
      <c r="E56" s="55"/>
      <c r="F56" s="56">
        <v>989.54</v>
      </c>
      <c r="G56" s="57">
        <v>3317.61</v>
      </c>
      <c r="H56" s="55"/>
      <c r="I56" s="55"/>
      <c r="J56" s="55"/>
      <c r="K56" s="57">
        <v>0</v>
      </c>
      <c r="L56" s="57">
        <v>0</v>
      </c>
      <c r="M56" s="57">
        <v>0</v>
      </c>
      <c r="N56" s="57">
        <v>107105</v>
      </c>
      <c r="O56" s="55"/>
      <c r="P56" s="55"/>
      <c r="Q56" s="57">
        <v>0</v>
      </c>
      <c r="R56" s="57">
        <v>0</v>
      </c>
      <c r="S56" s="57">
        <f>10000+54805+42300</f>
        <v>107105</v>
      </c>
      <c r="T56" s="55"/>
      <c r="U56" s="45">
        <f t="shared" si="1"/>
        <v>107105</v>
      </c>
      <c r="V56" s="51"/>
      <c r="W56" s="55"/>
      <c r="X56" s="52"/>
      <c r="Y56" s="55"/>
      <c r="Z56" s="47">
        <f t="shared" si="0"/>
        <v>0</v>
      </c>
      <c r="AA56" s="53">
        <f>U56+V56+W56</f>
        <v>107105</v>
      </c>
      <c r="AB56" s="54">
        <f>D56-AA56</f>
        <v>4171159</v>
      </c>
      <c r="AC56" s="48"/>
    </row>
    <row r="57" spans="2:29" s="106" customFormat="1" ht="18" customHeight="1" x14ac:dyDescent="0.25">
      <c r="B57" s="125"/>
      <c r="C57" s="104" t="s">
        <v>124</v>
      </c>
      <c r="D57" s="127"/>
      <c r="E57" s="96"/>
      <c r="F57" s="95" t="s">
        <v>125</v>
      </c>
      <c r="G57" s="96" t="s">
        <v>125</v>
      </c>
      <c r="H57" s="96"/>
      <c r="I57" s="96"/>
      <c r="J57" s="96"/>
      <c r="K57" s="131" t="s">
        <v>125</v>
      </c>
      <c r="L57" s="132"/>
      <c r="M57" s="131" t="s">
        <v>125</v>
      </c>
      <c r="N57" s="132"/>
      <c r="O57" s="131" t="s">
        <v>43</v>
      </c>
      <c r="P57" s="132"/>
      <c r="Q57" s="96"/>
      <c r="R57" s="96"/>
      <c r="S57" s="96" t="s">
        <v>125</v>
      </c>
      <c r="T57" s="96"/>
      <c r="U57" s="102"/>
      <c r="V57" s="95"/>
      <c r="W57" s="96"/>
      <c r="X57" s="95"/>
      <c r="Y57" s="96"/>
      <c r="Z57" s="103">
        <f t="shared" si="0"/>
        <v>0</v>
      </c>
      <c r="AA57" s="95"/>
      <c r="AB57" s="16"/>
      <c r="AC57" s="100"/>
    </row>
    <row r="58" spans="2:29" s="15" customFormat="1" ht="18" customHeight="1" x14ac:dyDescent="0.25">
      <c r="B58" s="125">
        <v>26</v>
      </c>
      <c r="C58" s="73" t="s">
        <v>126</v>
      </c>
      <c r="D58" s="134">
        <v>3891013</v>
      </c>
      <c r="E58" s="55"/>
      <c r="F58" s="56"/>
      <c r="G58" s="57">
        <v>57583</v>
      </c>
      <c r="H58" s="55"/>
      <c r="I58" s="55"/>
      <c r="J58" s="57">
        <v>0</v>
      </c>
      <c r="K58" s="55"/>
      <c r="L58" s="55"/>
      <c r="M58" s="55"/>
      <c r="N58" s="55"/>
      <c r="O58" s="55"/>
      <c r="P58" s="55"/>
      <c r="Q58" s="57">
        <v>0</v>
      </c>
      <c r="R58" s="64">
        <v>57970</v>
      </c>
      <c r="S58" s="71">
        <f>99992+304323.1+99992+79924+106024+79200</f>
        <v>769455.1</v>
      </c>
      <c r="T58" s="57">
        <f>2546462.95+55000</f>
        <v>2601462.9500000002</v>
      </c>
      <c r="U58" s="45">
        <f t="shared" si="1"/>
        <v>3428888.0500000003</v>
      </c>
      <c r="V58" s="56"/>
      <c r="W58" s="55"/>
      <c r="X58" s="56"/>
      <c r="Y58" s="55"/>
      <c r="Z58" s="47">
        <f t="shared" si="0"/>
        <v>0</v>
      </c>
      <c r="AA58" s="53">
        <f>U58+V58+W58</f>
        <v>3428888.0500000003</v>
      </c>
      <c r="AB58" s="54">
        <f>D58-AA58</f>
        <v>462124.94999999972</v>
      </c>
      <c r="AC58" s="48"/>
    </row>
    <row r="59" spans="2:29" s="17" customFormat="1" ht="18" customHeight="1" x14ac:dyDescent="0.25">
      <c r="B59" s="125"/>
      <c r="C59" s="104" t="s">
        <v>126</v>
      </c>
      <c r="D59" s="134"/>
      <c r="E59" s="22"/>
      <c r="F59" s="95"/>
      <c r="G59" s="96" t="s">
        <v>127</v>
      </c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 t="s">
        <v>128</v>
      </c>
      <c r="T59" s="95" t="s">
        <v>129</v>
      </c>
      <c r="U59" s="102"/>
      <c r="V59" s="95"/>
      <c r="W59" s="96"/>
      <c r="X59" s="95"/>
      <c r="Y59" s="96"/>
      <c r="Z59" s="103">
        <f t="shared" si="0"/>
        <v>0</v>
      </c>
      <c r="AA59" s="95"/>
      <c r="AB59" s="16"/>
      <c r="AC59" s="100"/>
    </row>
    <row r="60" spans="2:29" s="15" customFormat="1" ht="18" customHeight="1" x14ac:dyDescent="0.35">
      <c r="B60" s="125">
        <v>27</v>
      </c>
      <c r="C60" s="73" t="s">
        <v>130</v>
      </c>
      <c r="D60" s="127">
        <v>5095298</v>
      </c>
      <c r="E60" s="57">
        <v>0</v>
      </c>
      <c r="F60" s="56">
        <v>550.1</v>
      </c>
      <c r="G60" s="57">
        <v>1070.31</v>
      </c>
      <c r="H60" s="55"/>
      <c r="I60" s="55"/>
      <c r="J60" s="57">
        <v>0</v>
      </c>
      <c r="K60" s="55"/>
      <c r="L60" s="57">
        <v>0</v>
      </c>
      <c r="M60" s="55"/>
      <c r="N60" s="57">
        <v>49056.89</v>
      </c>
      <c r="O60" s="55"/>
      <c r="P60" s="55"/>
      <c r="Q60" s="55"/>
      <c r="R60" s="55"/>
      <c r="S60" s="55"/>
      <c r="T60" s="55"/>
      <c r="U60" s="45">
        <f t="shared" si="1"/>
        <v>0</v>
      </c>
      <c r="V60" s="51">
        <v>662498.16</v>
      </c>
      <c r="W60" s="55"/>
      <c r="X60" s="52">
        <v>1671470</v>
      </c>
      <c r="Y60" s="55"/>
      <c r="Z60" s="47">
        <f t="shared" si="0"/>
        <v>662498.16</v>
      </c>
      <c r="AA60" s="53">
        <f>U60+V60+W60</f>
        <v>662498.16</v>
      </c>
      <c r="AB60" s="54">
        <f>D60-AA60</f>
        <v>4432799.84</v>
      </c>
      <c r="AC60" s="48"/>
    </row>
    <row r="61" spans="2:29" s="17" customFormat="1" ht="18" customHeight="1" x14ac:dyDescent="0.25">
      <c r="B61" s="125"/>
      <c r="C61" s="104" t="s">
        <v>130</v>
      </c>
      <c r="D61" s="127"/>
      <c r="E61" s="96" t="s">
        <v>131</v>
      </c>
      <c r="F61" s="96" t="s">
        <v>131</v>
      </c>
      <c r="G61" s="96" t="s">
        <v>131</v>
      </c>
      <c r="H61" s="96"/>
      <c r="I61" s="137" t="s">
        <v>131</v>
      </c>
      <c r="J61" s="137"/>
      <c r="K61" s="137" t="s">
        <v>131</v>
      </c>
      <c r="L61" s="137"/>
      <c r="M61" s="137" t="s">
        <v>131</v>
      </c>
      <c r="N61" s="137"/>
      <c r="O61" s="96"/>
      <c r="P61" s="96"/>
      <c r="Q61" s="96"/>
      <c r="R61" s="96"/>
      <c r="S61" s="96"/>
      <c r="T61" s="96"/>
      <c r="U61" s="102"/>
      <c r="V61" s="95"/>
      <c r="W61" s="96"/>
      <c r="X61" s="95"/>
      <c r="Y61" s="96"/>
      <c r="Z61" s="103">
        <f t="shared" si="0"/>
        <v>0</v>
      </c>
      <c r="AA61" s="95"/>
      <c r="AB61" s="16"/>
      <c r="AC61" s="100"/>
    </row>
    <row r="62" spans="2:29" s="15" customFormat="1" ht="18" customHeight="1" x14ac:dyDescent="0.35">
      <c r="B62" s="129">
        <v>28</v>
      </c>
      <c r="C62" s="73" t="s">
        <v>132</v>
      </c>
      <c r="D62" s="127">
        <v>2911355</v>
      </c>
      <c r="E62" s="55"/>
      <c r="F62" s="57">
        <v>105.13</v>
      </c>
      <c r="G62" s="57">
        <v>133.16</v>
      </c>
      <c r="H62" s="64">
        <f>328.07-G62-F62</f>
        <v>89.78</v>
      </c>
      <c r="I62" s="55"/>
      <c r="J62" s="55"/>
      <c r="K62" s="71">
        <v>24951.95</v>
      </c>
      <c r="L62" s="71">
        <v>24951.95</v>
      </c>
      <c r="M62" s="71">
        <v>1206727.06</v>
      </c>
      <c r="N62" s="71">
        <f>1206727.06-L62</f>
        <v>1181775.1100000001</v>
      </c>
      <c r="O62" s="57">
        <v>2833062.48</v>
      </c>
      <c r="P62" s="57">
        <f>2833062.48-N62-L62</f>
        <v>1626335.42</v>
      </c>
      <c r="Q62" s="55"/>
      <c r="R62" s="57">
        <f>24951.95</f>
        <v>24951.95</v>
      </c>
      <c r="S62" s="57">
        <f>471908.56+311334.28+380284.89+18247.38</f>
        <v>1181775.1099999999</v>
      </c>
      <c r="T62" s="55"/>
      <c r="U62" s="45">
        <f t="shared" si="1"/>
        <v>1206727.0599999998</v>
      </c>
      <c r="V62" s="86">
        <v>78292.52</v>
      </c>
      <c r="W62" s="55"/>
      <c r="X62" s="59">
        <v>1663689</v>
      </c>
      <c r="Y62" s="55"/>
      <c r="Z62" s="47">
        <f t="shared" si="0"/>
        <v>78292.52</v>
      </c>
      <c r="AA62" s="60">
        <f>U62+V62+W62</f>
        <v>1285019.5799999998</v>
      </c>
      <c r="AB62" s="61">
        <f>D62-AA62</f>
        <v>1626335.4200000002</v>
      </c>
      <c r="AC62" s="62"/>
    </row>
    <row r="63" spans="2:29" s="17" customFormat="1" ht="18" customHeight="1" x14ac:dyDescent="0.25">
      <c r="B63" s="125"/>
      <c r="C63" s="104" t="s">
        <v>132</v>
      </c>
      <c r="D63" s="127"/>
      <c r="E63" s="96"/>
      <c r="F63" s="95" t="s">
        <v>133</v>
      </c>
      <c r="G63" s="95" t="s">
        <v>134</v>
      </c>
      <c r="H63" s="96" t="s">
        <v>135</v>
      </c>
      <c r="I63" s="96"/>
      <c r="J63" s="96"/>
      <c r="K63" s="130" t="s">
        <v>136</v>
      </c>
      <c r="L63" s="130"/>
      <c r="M63" s="131" t="s">
        <v>137</v>
      </c>
      <c r="N63" s="132"/>
      <c r="O63" s="131" t="s">
        <v>135</v>
      </c>
      <c r="P63" s="132"/>
      <c r="Q63" s="96"/>
      <c r="R63" s="96" t="s">
        <v>138</v>
      </c>
      <c r="S63" s="96" t="s">
        <v>138</v>
      </c>
      <c r="T63" s="96"/>
      <c r="U63" s="102"/>
      <c r="V63" s="95"/>
      <c r="W63" s="96"/>
      <c r="X63" s="95"/>
      <c r="Y63" s="96"/>
      <c r="Z63" s="103">
        <f t="shared" si="0"/>
        <v>0</v>
      </c>
      <c r="AA63" s="95"/>
      <c r="AB63" s="16"/>
      <c r="AC63" s="100"/>
    </row>
    <row r="64" spans="2:29" s="15" customFormat="1" ht="18" customHeight="1" x14ac:dyDescent="0.35">
      <c r="B64" s="133">
        <v>29</v>
      </c>
      <c r="C64" s="73" t="s">
        <v>139</v>
      </c>
      <c r="D64" s="134">
        <v>2489116</v>
      </c>
      <c r="E64" s="55"/>
      <c r="F64" s="56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7">
        <v>18560</v>
      </c>
      <c r="T64" s="57">
        <v>1483694.24</v>
      </c>
      <c r="U64" s="45">
        <f t="shared" si="1"/>
        <v>1502254.24</v>
      </c>
      <c r="V64" s="58">
        <v>410244.13</v>
      </c>
      <c r="W64" s="55"/>
      <c r="X64" s="59">
        <v>1672853</v>
      </c>
      <c r="Y64" s="55"/>
      <c r="Z64" s="45">
        <f t="shared" si="0"/>
        <v>410244.13</v>
      </c>
      <c r="AA64" s="60">
        <f>U64+V64+W64</f>
        <v>1912498.37</v>
      </c>
      <c r="AB64" s="61">
        <f>D64-AA64</f>
        <v>576617.62999999989</v>
      </c>
      <c r="AC64" s="62"/>
    </row>
    <row r="65" spans="2:29" s="13" customFormat="1" ht="18" customHeight="1" x14ac:dyDescent="0.25">
      <c r="B65" s="126"/>
      <c r="C65" s="63" t="s">
        <v>139</v>
      </c>
      <c r="D65" s="127"/>
      <c r="E65" s="43"/>
      <c r="F65" s="46"/>
      <c r="G65" s="43"/>
      <c r="H65" s="43"/>
      <c r="I65" s="43"/>
      <c r="J65" s="43"/>
      <c r="K65" s="43"/>
      <c r="L65" s="43"/>
      <c r="M65" s="135"/>
      <c r="N65" s="136"/>
      <c r="O65" s="135"/>
      <c r="P65" s="136"/>
      <c r="Q65" s="43"/>
      <c r="R65" s="43"/>
      <c r="S65" s="44" t="s">
        <v>43</v>
      </c>
      <c r="T65" s="44" t="s">
        <v>43</v>
      </c>
      <c r="U65" s="45"/>
      <c r="V65" s="46"/>
      <c r="W65" s="43"/>
      <c r="X65" s="46"/>
      <c r="Y65" s="43"/>
      <c r="Z65" s="47">
        <f t="shared" si="0"/>
        <v>0</v>
      </c>
      <c r="AA65" s="46"/>
      <c r="AB65" s="42"/>
      <c r="AC65" s="48"/>
    </row>
    <row r="66" spans="2:29" s="15" customFormat="1" ht="18" customHeight="1" x14ac:dyDescent="0.35">
      <c r="B66" s="125">
        <v>30</v>
      </c>
      <c r="C66" s="73" t="s">
        <v>140</v>
      </c>
      <c r="D66" s="127">
        <v>2854457</v>
      </c>
      <c r="E66" s="71">
        <f>0.79</f>
        <v>0.79</v>
      </c>
      <c r="F66" s="56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45">
        <f t="shared" si="1"/>
        <v>0</v>
      </c>
      <c r="V66" s="58">
        <v>478989.49</v>
      </c>
      <c r="W66" s="55"/>
      <c r="X66" s="59">
        <v>1668585</v>
      </c>
      <c r="Y66" s="55"/>
      <c r="Z66" s="45">
        <f t="shared" si="0"/>
        <v>478989.49</v>
      </c>
      <c r="AA66" s="60">
        <f>U66+V66+W66</f>
        <v>478989.49</v>
      </c>
      <c r="AB66" s="61">
        <f>D66-AA66</f>
        <v>2375467.5099999998</v>
      </c>
      <c r="AC66" s="62"/>
    </row>
    <row r="67" spans="2:29" s="17" customFormat="1" ht="18" customHeight="1" x14ac:dyDescent="0.25">
      <c r="B67" s="126"/>
      <c r="C67" s="104" t="s">
        <v>140</v>
      </c>
      <c r="D67" s="127"/>
      <c r="E67" s="96" t="s">
        <v>141</v>
      </c>
      <c r="F67" s="98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31"/>
      <c r="V67" s="105"/>
      <c r="W67" s="94"/>
      <c r="X67" s="105"/>
      <c r="Y67" s="94"/>
      <c r="Z67" s="99">
        <f t="shared" si="0"/>
        <v>0</v>
      </c>
      <c r="AA67" s="105"/>
      <c r="AB67" s="105"/>
      <c r="AC67" s="113"/>
    </row>
    <row r="68" spans="2:29" ht="6" customHeight="1" thickBot="1" x14ac:dyDescent="0.3">
      <c r="C68" s="119"/>
      <c r="D68" s="87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9"/>
      <c r="T68" s="88"/>
      <c r="U68" s="90"/>
      <c r="V68" s="90"/>
      <c r="W68" s="90"/>
      <c r="X68" s="88"/>
      <c r="Y68" s="87"/>
      <c r="Z68" s="89"/>
      <c r="AA68" s="88"/>
      <c r="AB68" s="87"/>
      <c r="AC68" s="91"/>
    </row>
    <row r="69" spans="2:29" ht="18" customHeight="1" thickBot="1" x14ac:dyDescent="0.3">
      <c r="B69" s="33"/>
      <c r="C69" s="128" t="s">
        <v>142</v>
      </c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92">
        <f>COUNTIF(AC8:AC66,"OK")</f>
        <v>17</v>
      </c>
    </row>
    <row r="70" spans="2:29" ht="6" customHeight="1" x14ac:dyDescent="0.25">
      <c r="S70" s="6"/>
    </row>
    <row r="71" spans="2:29" ht="6" customHeight="1" x14ac:dyDescent="0.25">
      <c r="S71" s="6"/>
    </row>
    <row r="72" spans="2:29" x14ac:dyDescent="0.25">
      <c r="D72" s="24">
        <f>SUM(D8:D67)</f>
        <v>111377041</v>
      </c>
      <c r="N72" s="23"/>
      <c r="P72" s="6"/>
      <c r="R72" s="23"/>
      <c r="S72" s="23"/>
      <c r="T72" s="23"/>
      <c r="U72" s="25"/>
      <c r="V72" s="25"/>
      <c r="W72" s="25"/>
      <c r="AA72" s="23"/>
      <c r="AB72" s="26"/>
      <c r="AC72" s="27"/>
    </row>
    <row r="73" spans="2:29" ht="21.75" x14ac:dyDescent="0.25">
      <c r="N73" s="23"/>
      <c r="O73" s="23"/>
      <c r="S73" s="23"/>
      <c r="T73" s="6"/>
      <c r="U73" s="25"/>
      <c r="AB73" s="28"/>
    </row>
    <row r="74" spans="2:29" ht="21.75" x14ac:dyDescent="0.25">
      <c r="N74" s="23"/>
      <c r="O74" s="23"/>
      <c r="P74" s="6"/>
      <c r="T74" s="6"/>
      <c r="AB74" s="28"/>
    </row>
    <row r="75" spans="2:29" ht="21.75" x14ac:dyDescent="0.25">
      <c r="N75" s="6"/>
      <c r="O75" s="6"/>
      <c r="P75" s="6"/>
      <c r="T75" s="6"/>
      <c r="AB75" s="28"/>
    </row>
    <row r="76" spans="2:29" x14ac:dyDescent="0.25">
      <c r="G76" s="29"/>
      <c r="N76" s="6"/>
      <c r="O76" s="6"/>
      <c r="P76" s="23"/>
      <c r="S76" s="6"/>
      <c r="T76" s="6"/>
      <c r="AB76" s="30"/>
    </row>
    <row r="77" spans="2:29" x14ac:dyDescent="0.25">
      <c r="O77" s="23"/>
      <c r="S77" s="6"/>
      <c r="T77" s="6"/>
    </row>
    <row r="78" spans="2:29" x14ac:dyDescent="0.25">
      <c r="O78" s="23"/>
      <c r="T78" s="6"/>
    </row>
    <row r="79" spans="2:29" x14ac:dyDescent="0.25">
      <c r="O79" s="23"/>
      <c r="S79" s="6"/>
      <c r="T79" s="24"/>
    </row>
    <row r="80" spans="2:29" x14ac:dyDescent="0.25">
      <c r="S80" s="24"/>
      <c r="T80" s="24"/>
    </row>
    <row r="227" spans="2:2" x14ac:dyDescent="0.25">
      <c r="B227" s="7" t="s">
        <v>143</v>
      </c>
    </row>
  </sheetData>
  <sheetProtection algorithmName="SHA-512" hashValue="R+/xILgyeVMaX6qkOchkYDZrESFXoF/oaS2PC/tgxR/78QMsafsOciifm9YZ09aYvLEszqIFja1q1qYKfvgkNA==" saltValue="j285Is7qJvZIm+zS74UY4w==" spinCount="100000" sheet="1" formatCells="0" formatColumns="0" formatRows="0" insertColumns="0" insertRows="0" insertHyperlinks="0" deleteColumns="0" deleteRows="0" sort="0" autoFilter="0" pivotTables="0"/>
  <autoFilter ref="B7:AC67"/>
  <mergeCells count="164">
    <mergeCell ref="B5:B7"/>
    <mergeCell ref="C5:C7"/>
    <mergeCell ref="D5:D7"/>
    <mergeCell ref="E5:H5"/>
    <mergeCell ref="I5:P5"/>
    <mergeCell ref="K6:L6"/>
    <mergeCell ref="M6:N6"/>
    <mergeCell ref="M9:N9"/>
    <mergeCell ref="AB5:AB7"/>
    <mergeCell ref="AC5:AC7"/>
    <mergeCell ref="E6:E7"/>
    <mergeCell ref="F6:F7"/>
    <mergeCell ref="G6:G7"/>
    <mergeCell ref="H6:H7"/>
    <mergeCell ref="I6:J6"/>
    <mergeCell ref="V5:W5"/>
    <mergeCell ref="X5:Z5"/>
    <mergeCell ref="AA5:AA7"/>
    <mergeCell ref="V6:V7"/>
    <mergeCell ref="Q5:T5"/>
    <mergeCell ref="O6:P6"/>
    <mergeCell ref="Q6:Q7"/>
    <mergeCell ref="R6:R7"/>
    <mergeCell ref="S6:S7"/>
    <mergeCell ref="T6:T7"/>
    <mergeCell ref="U5:U7"/>
    <mergeCell ref="B20:B21"/>
    <mergeCell ref="D20:D21"/>
    <mergeCell ref="I21:J21"/>
    <mergeCell ref="K21:L21"/>
    <mergeCell ref="O9:P9"/>
    <mergeCell ref="W6:W7"/>
    <mergeCell ref="X6:X7"/>
    <mergeCell ref="Y6:Y7"/>
    <mergeCell ref="Z6:Z7"/>
    <mergeCell ref="B14:B15"/>
    <mergeCell ref="D14:D15"/>
    <mergeCell ref="K15:L15"/>
    <mergeCell ref="M15:N15"/>
    <mergeCell ref="R15:S15"/>
    <mergeCell ref="B10:B11"/>
    <mergeCell ref="D10:D11"/>
    <mergeCell ref="M11:N11"/>
    <mergeCell ref="B12:B13"/>
    <mergeCell ref="D12:D13"/>
    <mergeCell ref="K13:L13"/>
    <mergeCell ref="B8:B9"/>
    <mergeCell ref="D8:D9"/>
    <mergeCell ref="I9:J9"/>
    <mergeCell ref="K9:L9"/>
    <mergeCell ref="O17:P17"/>
    <mergeCell ref="B18:B19"/>
    <mergeCell ref="D18:D19"/>
    <mergeCell ref="K19:L19"/>
    <mergeCell ref="M19:N19"/>
    <mergeCell ref="O19:P19"/>
    <mergeCell ref="B16:B17"/>
    <mergeCell ref="D16:D17"/>
    <mergeCell ref="I17:J17"/>
    <mergeCell ref="K17:L17"/>
    <mergeCell ref="M17:N17"/>
    <mergeCell ref="B26:B27"/>
    <mergeCell ref="D26:D27"/>
    <mergeCell ref="K27:L27"/>
    <mergeCell ref="B28:B29"/>
    <mergeCell ref="D28:D29"/>
    <mergeCell ref="I29:J29"/>
    <mergeCell ref="K29:L29"/>
    <mergeCell ref="M23:N23"/>
    <mergeCell ref="O23:P23"/>
    <mergeCell ref="B24:B25"/>
    <mergeCell ref="D24:D25"/>
    <mergeCell ref="I25:J25"/>
    <mergeCell ref="K25:L25"/>
    <mergeCell ref="M25:N25"/>
    <mergeCell ref="O25:P25"/>
    <mergeCell ref="B22:B23"/>
    <mergeCell ref="D22:D23"/>
    <mergeCell ref="I23:J23"/>
    <mergeCell ref="K23:L23"/>
    <mergeCell ref="O33:P33"/>
    <mergeCell ref="B34:B35"/>
    <mergeCell ref="D34:D35"/>
    <mergeCell ref="K35:L35"/>
    <mergeCell ref="M35:N35"/>
    <mergeCell ref="O35:P35"/>
    <mergeCell ref="M29:N29"/>
    <mergeCell ref="O29:P29"/>
    <mergeCell ref="B30:B31"/>
    <mergeCell ref="D30:D31"/>
    <mergeCell ref="I31:J31"/>
    <mergeCell ref="K31:L31"/>
    <mergeCell ref="M31:N31"/>
    <mergeCell ref="O31:P31"/>
    <mergeCell ref="B36:B37"/>
    <mergeCell ref="D36:D37"/>
    <mergeCell ref="K37:L37"/>
    <mergeCell ref="M37:N37"/>
    <mergeCell ref="B38:B39"/>
    <mergeCell ref="D38:D39"/>
    <mergeCell ref="B32:B33"/>
    <mergeCell ref="D32:D33"/>
    <mergeCell ref="K33:L33"/>
    <mergeCell ref="M33:N33"/>
    <mergeCell ref="B44:B45"/>
    <mergeCell ref="D44:D45"/>
    <mergeCell ref="B46:B47"/>
    <mergeCell ref="D46:D47"/>
    <mergeCell ref="K47:L47"/>
    <mergeCell ref="M47:N47"/>
    <mergeCell ref="B40:B41"/>
    <mergeCell ref="D40:D41"/>
    <mergeCell ref="I41:L41"/>
    <mergeCell ref="M41:N41"/>
    <mergeCell ref="B42:B43"/>
    <mergeCell ref="D42:D43"/>
    <mergeCell ref="I43:J43"/>
    <mergeCell ref="K43:L43"/>
    <mergeCell ref="M43:N43"/>
    <mergeCell ref="O51:P51"/>
    <mergeCell ref="B52:B53"/>
    <mergeCell ref="D52:D53"/>
    <mergeCell ref="O47:P47"/>
    <mergeCell ref="B48:B49"/>
    <mergeCell ref="D48:D49"/>
    <mergeCell ref="K49:L49"/>
    <mergeCell ref="M49:N49"/>
    <mergeCell ref="O49:P49"/>
    <mergeCell ref="D54:D55"/>
    <mergeCell ref="I55:J55"/>
    <mergeCell ref="K55:L55"/>
    <mergeCell ref="M55:N55"/>
    <mergeCell ref="B56:B57"/>
    <mergeCell ref="D56:D57"/>
    <mergeCell ref="K57:L57"/>
    <mergeCell ref="M57:N57"/>
    <mergeCell ref="B50:B51"/>
    <mergeCell ref="D50:D51"/>
    <mergeCell ref="K51:L51"/>
    <mergeCell ref="M51:N51"/>
    <mergeCell ref="J2:M2"/>
    <mergeCell ref="I3:M3"/>
    <mergeCell ref="J4:M4"/>
    <mergeCell ref="B66:B67"/>
    <mergeCell ref="D66:D67"/>
    <mergeCell ref="C69:AB69"/>
    <mergeCell ref="B62:B63"/>
    <mergeCell ref="D62:D63"/>
    <mergeCell ref="K63:L63"/>
    <mergeCell ref="M63:N63"/>
    <mergeCell ref="O63:P63"/>
    <mergeCell ref="B64:B65"/>
    <mergeCell ref="D64:D65"/>
    <mergeCell ref="M65:N65"/>
    <mergeCell ref="O65:P65"/>
    <mergeCell ref="O57:P57"/>
    <mergeCell ref="B58:B59"/>
    <mergeCell ref="D58:D59"/>
    <mergeCell ref="B60:B61"/>
    <mergeCell ref="D60:D61"/>
    <mergeCell ref="I61:J61"/>
    <mergeCell ref="K61:L61"/>
    <mergeCell ref="M61:N61"/>
    <mergeCell ref="B54:B55"/>
  </mergeCells>
  <pageMargins left="0.55118110236220474" right="0.59055118110236227" top="0.39370078740157483" bottom="0.98425196850393704" header="0.31496062992125984" footer="0.55118110236220474"/>
  <pageSetup scale="45" orientation="landscape" r:id="rId1"/>
  <headerFooter>
    <oddHeader xml:space="preserve">&amp;RMecanismo de registro, supervisión y control en materia de trasferencia de recursos federales
</oddHeader>
    <oddFooter>&amp;C&amp;P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BITACORA COMPROBACION (2)</vt:lpstr>
      <vt:lpstr>Hoja1</vt:lpstr>
      <vt:lpstr>'BITACORA COMPROBACION (2)'!Títulos_a_imprimir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cp:lastPrinted>2022-03-11T19:01:28Z</cp:lastPrinted>
  <dcterms:created xsi:type="dcterms:W3CDTF">2022-03-11T14:55:54Z</dcterms:created>
  <dcterms:modified xsi:type="dcterms:W3CDTF">2022-03-11T19:11:27Z</dcterms:modified>
</cp:coreProperties>
</file>